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9.xml" ContentType="application/vnd.openxmlformats-officedocument.spreadsheetml.externalLink+xml"/>
  <Override PartName="/xl/externalLinks/_rels/externalLink10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21.xml.rels" ContentType="application/vnd.openxmlformats-package.relationships+xml"/>
  <Override PartName="/xl/externalLinks/_rels/externalLink19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20.xml.rels" ContentType="application/vnd.openxmlformats-package.relationships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r99Notes" sheetId="1" state="visible" r:id="rId3"/>
    <sheet name="Mar99YTD" sheetId="2" state="visible" r:id="rId4"/>
    <sheet name="SEPTCM " sheetId="3" state="visible" r:id="rId5"/>
    <sheet name="SEPTYTD" sheetId="4" state="visible" r:id="rId6"/>
    <sheet name="AUGCM " sheetId="5" state="visible" r:id="rId7"/>
    <sheet name="AUGYTD " sheetId="6" state="visible" r:id="rId8"/>
    <sheet name="JulyCM " sheetId="7" state="visible" r:id="rId9"/>
    <sheet name="JULYYTD " sheetId="8" state="visible" r:id="rId10"/>
    <sheet name="JuneCM" sheetId="9" state="visible" r:id="rId11"/>
    <sheet name="JUNEYTD" sheetId="10" state="visible" r:id="rId12"/>
    <sheet name="MayCM" sheetId="11" state="visible" r:id="rId13"/>
    <sheet name="MayYTD" sheetId="12" state="visible" r:id="rId14"/>
    <sheet name="AprCM" sheetId="13" state="visible" r:id="rId15"/>
    <sheet name="AprYTD" sheetId="14" state="visible" r:id="rId16"/>
    <sheet name="MarCM" sheetId="15" state="visible" r:id="rId17"/>
    <sheet name="MarYTD" sheetId="16" state="visible" r:id="rId18"/>
    <sheet name="FebYTD" sheetId="17" state="visible" r:id="rId19"/>
    <sheet name="FebCM" sheetId="18" state="visible" r:id="rId20"/>
    <sheet name="JAN2000" sheetId="19" state="visible" r:id="rId21"/>
  </sheets>
  <externalReferences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</externalReferences>
  <definedNames>
    <definedName function="false" hidden="false" localSheetId="17" name="_xlnm.Print_Area" vbProcedure="false">FebCM!$A$1:$Q$62</definedName>
    <definedName function="false" hidden="false" localSheetId="16" name="_xlnm.Print_Area" vbProcedure="false">FebYTD!$A$1:$Q$64</definedName>
    <definedName function="false" hidden="false" localSheetId="18" name="_xlnm.Print_Area" vbProcedure="false">JAN2000!$C$1:$P$62</definedName>
    <definedName function="false" hidden="false" localSheetId="18" name="_xlnm.Print_Titles" vbProcedure="false">JAN2000!$A:$A</definedName>
    <definedName function="false" hidden="false" localSheetId="1" name="_xlnm.Print_Area" vbProcedure="false">Mar99YTD!$A$1:$R$64</definedName>
    <definedName function="false" hidden="false" localSheetId="11" name="_xlnm.Print_Area" vbProcedure="false">MayYTD!$A$1:$R$61</definedName>
    <definedName function="false" hidden="false" name="AACFHDRCOL" vbProcedure="false">JAN2000!$A$1:$A$57</definedName>
    <definedName function="false" hidden="false" name="AACFHDRROW" vbProcedure="false">JAN2000!$A$1:$P$5</definedName>
    <definedName function="false" hidden="false" name="AACFWKS" vbProcedure="false">JAN2000!$C$1:$P$59</definedName>
    <definedName function="false" hidden="false" name="AACFWKS1" vbProcedure="false">JAN2000!$A$1</definedName>
    <definedName function="false" hidden="false" name="AACFWKS2" vbProcedure="false">#REF!</definedName>
    <definedName function="false" hidden="false" name="AAWSSIDEWAYS" vbProcedure="false">JAN2000!$A$1:$P$58</definedName>
    <definedName function="false" hidden="false" name="ADJUSTMENTS" vbProcedure="false">#REF!</definedName>
    <definedName function="false" hidden="false" name="ASSETS" vbProcedure="false">#REF!</definedName>
    <definedName function="false" hidden="false" name="AWAACF" vbProcedure="false">JAN2000!$C$1:$P$57</definedName>
    <definedName function="false" hidden="false" name="AWBALSHT" vbProcedure="false">#REF!</definedName>
    <definedName function="false" hidden="false" name="AWCFWKS" vbProcedure="false">#REF!</definedName>
    <definedName function="false" hidden="false" name="AWGRPCF" vbProcedure="false">#REF!</definedName>
    <definedName function="false" hidden="false" name="AWGRPCF_BRDR" vbProcedure="false">#REF!</definedName>
    <definedName function="false" hidden="false" name="BALSHT" vbProcedure="false">#REF!</definedName>
    <definedName function="false" hidden="false" name="BB" vbProcedure="false">#REF!</definedName>
    <definedName function="false" hidden="false" name="BBGROUP" vbProcedure="false">#REF!</definedName>
    <definedName function="false" hidden="false" name="BBGROUP1" vbProcedure="false">#REF!</definedName>
    <definedName function="false" hidden="false" name="BBK" vbProcedure="false">#REF!</definedName>
    <definedName function="false" hidden="false" name="BBK1" vbProcedure="false">#REF!</definedName>
    <definedName function="false" hidden="false" name="BBTITLE" vbProcedure="false">#REF!</definedName>
    <definedName function="false" hidden="false" name="BLANK" vbProcedure="false">#REF!</definedName>
    <definedName function="false" hidden="false" name="BLANK1" vbProcedure="false">#REF!</definedName>
    <definedName function="false" hidden="false" name="BORDERC" vbProcedure="false">#REF!</definedName>
    <definedName function="false" hidden="false" name="BORDERC1" vbProcedure="false">#REF!</definedName>
    <definedName function="false" hidden="false" name="BORDERCAAWP" vbProcedure="false">JAN2000!$A$1:$B$57</definedName>
    <definedName function="false" hidden="false" name="BORDERNONCUR" vbProcedure="false">#REF!</definedName>
    <definedName function="false" hidden="false" name="BORDERR" vbProcedure="false">#REF!</definedName>
    <definedName function="false" hidden="false" name="BORDERR1" vbProcedure="false">#REF!</definedName>
    <definedName function="false" hidden="false" name="BORDERRAAWP" vbProcedure="false">JAN2000!$A$1:$A$5</definedName>
    <definedName function="false" hidden="false" name="BORDERRWWAP" vbProcedure="false">JAN2000!$A$1:$P$5</definedName>
    <definedName function="false" hidden="false" name="BSTITLE" vbProcedure="false">#REF!</definedName>
    <definedName function="false" hidden="false" name="BSTITLE1" vbProcedure="false">#REF!</definedName>
    <definedName function="false" hidden="false" name="BS_TitleRow" vbProcedure="false">#REF!</definedName>
    <definedName function="false" hidden="false" name="CASHFLOW" vbProcedure="false">#REF!</definedName>
    <definedName function="false" hidden="false" name="CASHFLOW1" vbProcedure="false">#REF!</definedName>
    <definedName function="false" hidden="false" name="CATEGORY" vbProcedure="false">#REF!</definedName>
    <definedName function="false" hidden="false" name="CATEGORY2" vbProcedure="false">#REF!</definedName>
    <definedName function="false" hidden="false" name="CF" vbProcedure="false">#REF!</definedName>
    <definedName function="false" hidden="false" name="CFTITLE" vbProcedure="false">#REF!</definedName>
    <definedName function="false" hidden="false" name="CFTITLE1" vbProcedure="false">#REF!</definedName>
    <definedName function="false" hidden="false" name="CF_WKS_TitleRow" vbProcedure="false">#REF!</definedName>
    <definedName function="false" hidden="false" name="CHGNONCUR" vbProcedure="false">#REF!</definedName>
    <definedName function="false" hidden="false" name="CM" vbProcedure="false">#REF!</definedName>
    <definedName function="false" hidden="false" name="DATE1" vbProcedure="false">#REF!</definedName>
    <definedName function="false" hidden="false" name="DATE2" vbProcedure="false">#REF!</definedName>
    <definedName function="false" hidden="false" name="DATE3" vbProcedure="false">#REF!</definedName>
    <definedName function="false" hidden="false" name="DATE4" vbProcedure="false">#REF!</definedName>
    <definedName function="false" hidden="false" name="DATE5" vbProcedure="false">#REF!</definedName>
    <definedName function="false" hidden="false" name="DATEPRYR" vbProcedure="false">#REF!</definedName>
    <definedName function="false" hidden="false" name="DESC" vbProcedure="false">#REF!</definedName>
    <definedName function="false" hidden="false" name="GROUP" vbProcedure="false">#REF!</definedName>
    <definedName function="false" hidden="false" name="GROUPYTD" vbProcedure="false">#REF!</definedName>
    <definedName function="false" hidden="false" name="GrpPrtRng" vbProcedure="false">#REF!</definedName>
    <definedName function="false" hidden="false" name="GRPTITLE" vbProcedure="false">#REF!</definedName>
    <definedName function="false" hidden="false" name="GRPTITLE1" vbProcedure="false">#REF!</definedName>
    <definedName function="false" hidden="false" name="GRPTITLE2" vbProcedure="false">#REF!</definedName>
    <definedName function="false" hidden="false" name="GrpTitleCol" vbProcedure="false">#REF!</definedName>
    <definedName function="false" hidden="false" name="ICGROUP" vbProcedure="false">#REF!</definedName>
    <definedName function="false" hidden="false" name="LIABILITIES" vbProcedure="false">#REF!</definedName>
    <definedName function="false" hidden="false" name="NAME1" vbProcedure="false">#REF!</definedName>
    <definedName function="false" hidden="false" name="OTHERBORDER" vbProcedure="false">#REF!</definedName>
    <definedName function="false" hidden="false" name="OTHERNC" vbProcedure="false">#REF!</definedName>
    <definedName function="false" hidden="false" name="OTHERTITLES" vbProcedure="false">#REF!</definedName>
    <definedName function="false" hidden="false" name="Print_Area_MI" vbProcedure="false">#REF!</definedName>
    <definedName function="false" hidden="false" name="Print_Titles_MI" vbProcedure="false">#REF!,#REF!</definedName>
    <definedName function="false" hidden="false" name="PRIORBB" vbProcedure="false">#REF!</definedName>
    <definedName function="false" hidden="false" name="PRT_RNG_AA" vbProcedure="false">JAN2000!$C$6:$P$59</definedName>
    <definedName function="false" hidden="false" name="REPORT" vbProcedure="false">#REF!</definedName>
    <definedName function="false" hidden="false" name="Titles_Rptg_Grp_Wks" vbProcedure="false">#REF!</definedName>
    <definedName function="false" hidden="false" name="YTDBB" vbProcedure="false">#REF!</definedName>
    <definedName function="false" hidden="false" localSheetId="18" name="CO_NAME" vbProcedure="false">#REF!</definedName>
    <definedName function="false" hidden="false" localSheetId="18" name="_Fill" vbProcedure="false">#REF!</definedName>
    <definedName function="false" hidden="false" localSheetId="18" name="_Regression_Int" vbProcedure="false">1</definedName>
    <definedName function="false" hidden="false" localSheetId="18" name="_Table1_Out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21" authorId="0">
      <text>
        <r>
          <rPr>
            <sz val="8"/>
            <color rgb="FF000000"/>
            <rFont val="Tahoma"/>
            <family val="0"/>
          </rPr>
          <t xml:space="preserve">regulatory assets 698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15</xdr:colOff>
                <xdr:row>19</xdr:row>
                <xdr:rowOff>3</xdr:rowOff>
              </xdr:from>
              <xdr:to>
                <xdr:col>9</xdr:col>
                <xdr:colOff>13</xdr:colOff>
                <xdr:row>24</xdr:row>
                <xdr:rowOff>11</xdr:rowOff>
              </xdr:to>
            </anchor>
          </commentPr>
        </mc:Choice>
        <mc:Fallback/>
      </mc:AlternateContent>
    </comment>
    <comment ref="G46" authorId="0">
      <text>
        <r>
          <rPr>
            <b val="true"/>
            <sz val="8"/>
            <color rgb="FF000000"/>
            <rFont val="Tahoma"/>
            <family val="0"/>
          </rPr>
          <t xml:space="preserve">underground gas storage -32
other -30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15</xdr:colOff>
                <xdr:row>44</xdr:row>
                <xdr:rowOff>2</xdr:rowOff>
              </xdr:from>
              <xdr:to>
                <xdr:col>9</xdr:col>
                <xdr:colOff>13</xdr:colOff>
                <xdr:row>49</xdr:row>
                <xdr:rowOff>11</xdr:rowOff>
              </xdr:to>
            </anchor>
          </commentPr>
        </mc:Choice>
        <mc:Fallback/>
      </mc:AlternateContent>
    </comment>
    <comment ref="H21" authorId="0">
      <text>
        <r>
          <rPr>
            <b val="true"/>
            <sz val="8"/>
            <color rgb="FF000000"/>
            <rFont val="Tahoma"/>
            <family val="0"/>
          </rPr>
          <t xml:space="preserve">Citrus YTD doesn't agree w/ Co. 372 because there was a '98 year end adjustment to 1N9.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15</xdr:colOff>
                <xdr:row>19</xdr:row>
                <xdr:rowOff>3</xdr:rowOff>
              </xdr:from>
              <xdr:to>
                <xdr:col>10</xdr:col>
                <xdr:colOff>13</xdr:colOff>
                <xdr:row>24</xdr:row>
                <xdr:rowOff>11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<sst xmlns="http://schemas.openxmlformats.org/spreadsheetml/2006/main" count="1262" uniqueCount="126">
  <si>
    <t xml:space="preserve">Current Month - March 1999</t>
  </si>
  <si>
    <t xml:space="preserve">Black Marlin:</t>
  </si>
  <si>
    <t xml:space="preserve">1466-011</t>
  </si>
  <si>
    <t xml:space="preserve">1460-011</t>
  </si>
  <si>
    <t xml:space="preserve">  Net 0660 - CF</t>
  </si>
  <si>
    <t xml:space="preserve">Service Cos:</t>
  </si>
  <si>
    <t xml:space="preserve">JO 00001</t>
  </si>
  <si>
    <t xml:space="preserve">Teresa Quarterly Div</t>
  </si>
  <si>
    <t xml:space="preserve">A/R from Co. 057</t>
  </si>
  <si>
    <t xml:space="preserve">Balance</t>
  </si>
  <si>
    <t xml:space="preserve">  Other, net - CF</t>
  </si>
  <si>
    <t xml:space="preserve">NNG:</t>
  </si>
  <si>
    <t xml:space="preserve">CAPEX - BM</t>
  </si>
  <si>
    <t xml:space="preserve">NNG Capital Adds</t>
  </si>
  <si>
    <t xml:space="preserve">  Capex - CF</t>
  </si>
  <si>
    <t xml:space="preserve">Co. 179</t>
  </si>
  <si>
    <t xml:space="preserve">Co. 53K (fair value)</t>
  </si>
  <si>
    <t xml:space="preserve">  Other Financing - CF</t>
  </si>
  <si>
    <t xml:space="preserve">Enron Gas Pipeline Group</t>
  </si>
  <si>
    <t xml:space="preserve">Statement of Consolidated Cash Flows</t>
  </si>
  <si>
    <t xml:space="preserve">For the 3 months ended March 31, 1999</t>
  </si>
  <si>
    <t xml:space="preserve">TOTAL</t>
  </si>
  <si>
    <t xml:space="preserve">NNG</t>
  </si>
  <si>
    <t xml:space="preserve">TW</t>
  </si>
  <si>
    <t xml:space="preserve">EC</t>
  </si>
  <si>
    <t xml:space="preserve">NP</t>
  </si>
  <si>
    <t xml:space="preserve">BM</t>
  </si>
  <si>
    <t xml:space="preserve">HPLPO</t>
  </si>
  <si>
    <t xml:space="preserve">HPL</t>
  </si>
  <si>
    <t xml:space="preserve">LRC</t>
  </si>
  <si>
    <t xml:space="preserve">LIQUIDS</t>
  </si>
  <si>
    <t xml:space="preserve">GATHER</t>
  </si>
  <si>
    <t xml:space="preserve">SERVICE</t>
  </si>
  <si>
    <t xml:space="preserve">OTHER</t>
  </si>
  <si>
    <t xml:space="preserve">(In Thousands)</t>
  </si>
  <si>
    <t xml:space="preserve">GPG</t>
  </si>
  <si>
    <t xml:space="preserve">DOMESTIC</t>
  </si>
  <si>
    <t xml:space="preserve">GROUP</t>
  </si>
  <si>
    <t xml:space="preserve">COS</t>
  </si>
  <si>
    <t xml:space="preserve">Operating Cash Inflows (Outflows)</t>
  </si>
  <si>
    <t xml:space="preserve"> Net income before financing costs</t>
  </si>
  <si>
    <t xml:space="preserve">    Financing costs</t>
  </si>
  <si>
    <t xml:space="preserve"> NI after financing costs (excluding cons subs equity earn)</t>
  </si>
  <si>
    <t xml:space="preserve">    Depreciation, depletion and amortization</t>
  </si>
  <si>
    <t xml:space="preserve">    Oil and gas exploration expenses</t>
  </si>
  <si>
    <t xml:space="preserve">    Deferred income taxes</t>
  </si>
  <si>
    <t xml:space="preserve">    Income attributable to minority interest</t>
  </si>
  <si>
    <t xml:space="preserve">    Gains on sales of assets and investments</t>
  </si>
  <si>
    <t xml:space="preserve">    Dividends on pref securities of subsidiary cos.</t>
  </si>
  <si>
    <t xml:space="preserve">    Net assets from price risk management activities</t>
  </si>
  <si>
    <t xml:space="preserve">    Amortization of production payment transaction</t>
  </si>
  <si>
    <t xml:space="preserve">    Equity earnings</t>
  </si>
  <si>
    <t xml:space="preserve">    Equity/partnership distributions</t>
  </si>
  <si>
    <t xml:space="preserve">    Other, net</t>
  </si>
  <si>
    <t xml:space="preserve">          Funds Flow</t>
  </si>
  <si>
    <t xml:space="preserve">Changes in components of working capital from operations:</t>
  </si>
  <si>
    <t xml:space="preserve">   Receivables</t>
  </si>
  <si>
    <t xml:space="preserve">   Exchange Receivable</t>
  </si>
  <si>
    <t xml:space="preserve">   A/R, A/P - Intercompany</t>
  </si>
  <si>
    <t xml:space="preserve">   A/R, A/P - Corp</t>
  </si>
  <si>
    <t xml:space="preserve">   Inventories</t>
  </si>
  <si>
    <t xml:space="preserve">   Prepayments</t>
  </si>
  <si>
    <t xml:space="preserve">   Payables</t>
  </si>
  <si>
    <t xml:space="preserve">   Exchange Payable</t>
  </si>
  <si>
    <t xml:space="preserve">   Accrued taxes</t>
  </si>
  <si>
    <t xml:space="preserve">   Accrued interest</t>
  </si>
  <si>
    <t xml:space="preserve">   Other working capital</t>
  </si>
  <si>
    <t xml:space="preserve">        Total changes in components of working capital</t>
  </si>
  <si>
    <t xml:space="preserve">  Net Cash Provided by Operating Activities</t>
  </si>
  <si>
    <t xml:space="preserve">Investing Cash Inflows (Outflows)</t>
  </si>
  <si>
    <t xml:space="preserve">Proceeds from sale of assets and investments</t>
  </si>
  <si>
    <t xml:space="preserve">Capital Expenditures</t>
  </si>
  <si>
    <t xml:space="preserve">Acquisition of subsidiary stock</t>
  </si>
  <si>
    <t xml:space="preserve">Business acquisitions, net of cash acquired </t>
  </si>
  <si>
    <t xml:space="preserve">Equity investments</t>
  </si>
  <si>
    <t xml:space="preserve">Financing and merchant investments</t>
  </si>
  <si>
    <t xml:space="preserve">Other investing activities - intercompany</t>
  </si>
  <si>
    <t xml:space="preserve">Other investing activities, net</t>
  </si>
  <si>
    <t xml:space="preserve">  Net Cash Provided by Investing Activities</t>
  </si>
  <si>
    <t xml:space="preserve">Cash Flows From Financing Activities</t>
  </si>
  <si>
    <t xml:space="preserve">Net increase (decrease) in short-term borrowings</t>
  </si>
  <si>
    <t xml:space="preserve">Issuance of long-term debt</t>
  </si>
  <si>
    <t xml:space="preserve">Dividends paid</t>
  </si>
  <si>
    <t xml:space="preserve">Repayment of long-term debt </t>
  </si>
  <si>
    <t xml:space="preserve">Other financing activities - I/C</t>
  </si>
  <si>
    <t xml:space="preserve">Transfer of equity from Co. 100 to Co. 104</t>
  </si>
  <si>
    <t xml:space="preserve">  Net Cash Provided by Financing Activities</t>
  </si>
  <si>
    <t xml:space="preserve">INC (DEC) IN CASH &amp; CASH EQUIV, I/C CASH FROM CORP</t>
  </si>
  <si>
    <t xml:space="preserve">INC (DEC) IN CASH &amp; CASH EQUIV</t>
  </si>
  <si>
    <t xml:space="preserve">INC (DEC) INTERCOMPANY CASH FROM CORPORATE</t>
  </si>
  <si>
    <t xml:space="preserve">Change in other obligations</t>
  </si>
  <si>
    <t xml:space="preserve">Change in total obligations</t>
  </si>
  <si>
    <t xml:space="preserve">Check numbers from Hyperion Report # 9010 Line 0660</t>
  </si>
  <si>
    <t xml:space="preserve">0660 per corporate hyperion</t>
  </si>
  <si>
    <t xml:space="preserve">cell D59</t>
  </si>
  <si>
    <t xml:space="preserve">difference</t>
  </si>
  <si>
    <t xml:space="preserve">For the 1 month ended September 30, 2000</t>
  </si>
  <si>
    <t xml:space="preserve">       CONSOLIDATED</t>
  </si>
  <si>
    <t xml:space="preserve">HPLO</t>
  </si>
  <si>
    <t xml:space="preserve">GPG CASH</t>
  </si>
  <si>
    <t xml:space="preserve">GPG &amp; EOTT</t>
  </si>
  <si>
    <t xml:space="preserve">SERVICES </t>
  </si>
  <si>
    <t xml:space="preserve">EOTT</t>
  </si>
  <si>
    <t xml:space="preserve">Changes in components of working capital</t>
  </si>
  <si>
    <t xml:space="preserve">   Exchange Rec/Payable</t>
  </si>
  <si>
    <t xml:space="preserve">Underground Storage,Salvage &amp; Removal Costs</t>
  </si>
  <si>
    <t xml:space="preserve">EOTT Revolver and API's</t>
  </si>
  <si>
    <t xml:space="preserve">Other financing activities, net</t>
  </si>
  <si>
    <t xml:space="preserve">For the 9 months ended September 30, 2000</t>
  </si>
  <si>
    <t xml:space="preserve">For the 1 month ended August 31, 2000</t>
  </si>
  <si>
    <t xml:space="preserve">For the 8 months ended August 30, 2000</t>
  </si>
  <si>
    <t xml:space="preserve">For the 1 month ended July 31, 2000</t>
  </si>
  <si>
    <t xml:space="preserve">For the 7 months ended July 31, 2000</t>
  </si>
  <si>
    <t xml:space="preserve">For the 1 month ended June 30, 2000</t>
  </si>
  <si>
    <t xml:space="preserve">For the 6 months ended June 30, 2000</t>
  </si>
  <si>
    <t xml:space="preserve">For the 1 month ended May 31, 2000</t>
  </si>
  <si>
    <t xml:space="preserve">For the 5 months ended May 31, 2000</t>
  </si>
  <si>
    <t xml:space="preserve">For the 1 month ended April 30, 2000</t>
  </si>
  <si>
    <t xml:space="preserve">For the 4 months ended April 30, 2000</t>
  </si>
  <si>
    <t xml:space="preserve">For the 1 month ended March 31, 2000</t>
  </si>
  <si>
    <t xml:space="preserve">EOTT Advances</t>
  </si>
  <si>
    <t xml:space="preserve">Interest on GP Work Cap Loan(23Q)</t>
  </si>
  <si>
    <t xml:space="preserve">For the 3 months ended March 31, 2000</t>
  </si>
  <si>
    <t xml:space="preserve">For the 2 months ended February 29, 2000</t>
  </si>
  <si>
    <t xml:space="preserve">For the 1 month ended February 29, 2000</t>
  </si>
  <si>
    <t xml:space="preserve">For the 1 month ended January 31, 2000</t>
  </si>
</sst>
</file>

<file path=xl/styles.xml><?xml version="1.0" encoding="utf-8"?>
<styleSheet xmlns="http://schemas.openxmlformats.org/spreadsheetml/2006/main">
  <numFmts count="9">
    <numFmt numFmtId="164" formatCode="[$-409]#,##0_);\(#,##0\)"/>
    <numFmt numFmtId="165" formatCode="_(* #,##0_);_(* \(#,##0\);_(* \-_);_(@_)"/>
    <numFmt numFmtId="166" formatCode="_(* #,##0.00_);_(* \(#,##0.00\);_(* \-??_);_(@_)"/>
    <numFmt numFmtId="167" formatCode="_(\$* #,##0_);_(\$* \(#,##0\);_(\$* \-_);_(@_)"/>
    <numFmt numFmtId="168" formatCode="_(\$* #,##0.00_);_(\$* \(#,##0.00\);_(\$* \-??_);_(@_)"/>
    <numFmt numFmtId="169" formatCode="[$-409]General"/>
    <numFmt numFmtId="170" formatCode="[$-409]@"/>
    <numFmt numFmtId="171" formatCode="[$-409]mm/dd/yy"/>
    <numFmt numFmtId="172" formatCode="[$-409]h:mm\ AM/PM"/>
  </numFmts>
  <fonts count="25">
    <font>
      <sz val="8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0"/>
    </font>
    <font>
      <sz val="10"/>
      <name val="Courier New"/>
      <family val="3"/>
    </font>
    <font>
      <sz val="10"/>
      <name val="MS Sans Serif"/>
      <family val="0"/>
    </font>
    <font>
      <b val="true"/>
      <sz val="8"/>
      <name val="Arial"/>
      <family val="2"/>
    </font>
    <font>
      <b val="true"/>
      <sz val="8"/>
      <name val="Arial"/>
      <family val="0"/>
    </font>
    <font>
      <b val="true"/>
      <sz val="8"/>
      <color rgb="FFFF0000"/>
      <name val="Arial"/>
      <family val="2"/>
    </font>
    <font>
      <b val="true"/>
      <sz val="7"/>
      <name val="Arial"/>
      <family val="2"/>
    </font>
    <font>
      <i val="true"/>
      <sz val="8"/>
      <name val="Arial"/>
      <family val="0"/>
    </font>
    <font>
      <u val="single"/>
      <sz val="8"/>
      <name val="Arial"/>
      <family val="0"/>
    </font>
    <font>
      <sz val="8"/>
      <color rgb="FF000000"/>
      <name val="Arial"/>
      <family val="2"/>
    </font>
    <font>
      <sz val="8"/>
      <name val="Arial"/>
      <family val="2"/>
    </font>
    <font>
      <sz val="8"/>
      <color rgb="FF0000FF"/>
      <name val="Arial"/>
      <family val="2"/>
    </font>
    <font>
      <sz val="8"/>
      <color rgb="FF000000"/>
      <name val="Tahoma"/>
      <family val="0"/>
    </font>
    <font>
      <b val="true"/>
      <sz val="8"/>
      <color rgb="FF000000"/>
      <name val="Tahoma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i val="true"/>
      <sz val="10"/>
      <name val="Arial"/>
      <family val="2"/>
    </font>
    <font>
      <u val="single"/>
      <sz val="10"/>
      <name val="Arial"/>
      <family val="2"/>
    </font>
    <font>
      <sz val="10"/>
      <color rgb="FF0000FF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double"/>
      <diagonal/>
    </border>
  </borders>
  <cellStyleXfs count="4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1" fontId="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3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5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8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9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1" fontId="18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8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0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8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2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8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2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2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3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2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3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2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3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3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3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3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9309REST" xfId="20"/>
    <cellStyle name="Comma [0]_cashflow" xfId="21"/>
    <cellStyle name="Comma [0]_Sheet1 (2)" xfId="22"/>
    <cellStyle name="Comma [0]_Working Cap Adj" xfId="23"/>
    <cellStyle name="Comma_9309REST" xfId="24"/>
    <cellStyle name="Comma_cashflow" xfId="25"/>
    <cellStyle name="Comma_Sheet1 (2)" xfId="26"/>
    <cellStyle name="Comma_Working Cap Adj" xfId="27"/>
    <cellStyle name="Currency [0]_9309REST" xfId="28"/>
    <cellStyle name="Currency [0]_cashflow" xfId="29"/>
    <cellStyle name="Currency [0]_Sheet1 (2)" xfId="30"/>
    <cellStyle name="Currency [0]_Working Cap Adj" xfId="31"/>
    <cellStyle name="Currency_9309REST" xfId="32"/>
    <cellStyle name="Currency_cashflow" xfId="33"/>
    <cellStyle name="Currency_Sheet1 (2)" xfId="34"/>
    <cellStyle name="Currency_Working Cap Adj" xfId="35"/>
    <cellStyle name="Normal_9206CFOT.XLS" xfId="36"/>
    <cellStyle name="Normal_9306OTHR.XLS" xfId="37"/>
    <cellStyle name="Normal_9306SALE.XLS" xfId="38"/>
    <cellStyle name="Normal_9309REST" xfId="39"/>
    <cellStyle name="Normal_9309REST_1" xfId="40"/>
    <cellStyle name="Normal_9403OTHR.XLS" xfId="41"/>
    <cellStyle name="Normal_9403SALE.XLS" xfId="42"/>
    <cellStyle name="Normal_cashflow" xfId="43"/>
    <cellStyle name="Normal_CFCONS.XLM" xfId="44"/>
    <cellStyle name="Normal_Sheet1 (2)" xfId="45"/>
    <cellStyle name="Normal_Working Cap Adj" xfId="46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externalLink" Target="externalLinks/externalLink1.xml"/><Relationship Id="rId23" Type="http://schemas.openxmlformats.org/officeDocument/2006/relationships/externalLink" Target="externalLinks/externalLink2.xml"/><Relationship Id="rId24" Type="http://schemas.openxmlformats.org/officeDocument/2006/relationships/externalLink" Target="externalLinks/externalLink3.xml"/><Relationship Id="rId25" Type="http://schemas.openxmlformats.org/officeDocument/2006/relationships/externalLink" Target="externalLinks/externalLink4.xml"/><Relationship Id="rId26" Type="http://schemas.openxmlformats.org/officeDocument/2006/relationships/externalLink" Target="externalLinks/externalLink5.xml"/><Relationship Id="rId27" Type="http://schemas.openxmlformats.org/officeDocument/2006/relationships/externalLink" Target="externalLinks/externalLink6.xml"/><Relationship Id="rId28" Type="http://schemas.openxmlformats.org/officeDocument/2006/relationships/externalLink" Target="externalLinks/externalLink7.xml"/><Relationship Id="rId29" Type="http://schemas.openxmlformats.org/officeDocument/2006/relationships/externalLink" Target="externalLinks/externalLink8.xml"/><Relationship Id="rId3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11.xml"/><Relationship Id="rId33" Type="http://schemas.openxmlformats.org/officeDocument/2006/relationships/externalLink" Target="externalLinks/externalLink12.xml"/><Relationship Id="rId34" Type="http://schemas.openxmlformats.org/officeDocument/2006/relationships/externalLink" Target="externalLinks/externalLink13.xml"/><Relationship Id="rId35" Type="http://schemas.openxmlformats.org/officeDocument/2006/relationships/externalLink" Target="externalLinks/externalLink14.xml"/><Relationship Id="rId36" Type="http://schemas.openxmlformats.org/officeDocument/2006/relationships/externalLink" Target="externalLinks/externalLink15.xml"/><Relationship Id="rId37" Type="http://schemas.openxmlformats.org/officeDocument/2006/relationships/externalLink" Target="externalLinks/externalLink16.xml"/><Relationship Id="rId3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18.xml"/><Relationship Id="rId4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21.xml"/><Relationship Id="rId43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pgPLAN/GENACTG/REPORTS/GPG/1999/04_Apr/GPG_IS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orporate/GPGFin/gpgPLAN/GENACTG/Year2000/JUL_2000/IS_ClnFls_EOTT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orporate/GPGFin/gpgPLAN/GENACTG/Year2000/Jun_2000/CF_ClnFls_EOTT_Cons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orporate/GPGFin/gpgPLAN/GENACTG/Year2000/May_2000/CF_ClnFls_EOTT_Cons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orporate/GPGFin/gpgPLAN/GENACTG/Year2000/May_2000/IS_GPG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orporate/GPGFin/gpgPLAN/GENACTG/Year2000/Apr_2000/IS_GPG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orporate/GPGFin/gpgPLAN/GENACTG/Year2000/Apr_2000/CF_ClnFls_EOTT_Cons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orporate/GPGFin/gpgPLAN/GENACTG/Year2000/Jan_2000/IS_GPG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orporate/GPGFin/gpgPLAN/GENACTG/Year2000/Jan_2000/CF_ClnFls_EOTT_Cons.xls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orporate/GPGFin/gpgPLAN/GENACTG/Year2000/Mar_2000/IS_GPG.xls" TargetMode="External"/>
</Relationships>
</file>

<file path=xl/externalLinks/_rels/externalLink19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orporate/GPGFin/gpgPLAN/GENACTG/Year2000/Mar_2000/CF_ClnFls_EOTT_Cons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IS_GPG.xls" TargetMode="External"/>
</Relationships>
</file>

<file path=xl/externalLinks/_rels/externalLink20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orporate/GPGFin/gpgPLAN/GENACTG/Year2000/Feb_2000/IS_GPG.xls" TargetMode="External"/>
</Relationships>
</file>

<file path=xl/externalLinks/_rels/externalLink2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orporate/GPGFin/gpgPLAN/GENACTG/Year2000/Feb_2000/CF_ClnFls_EOTT_Cons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CF_ClnFls_EOTT_Cons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orporate/GPGFin/gpgPLAN/GENACTG/Year2000/Aug_2000/IS_GPG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orporate/GPGFin/gpgPLAN/GENACTG/Year2000/Sept_2000/IS_ClnFls_EOTT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orporate/GPGFin/gpgPLAN/GENACTG/Year2000/Sept_2000/CF_ClnFls_EOTT_Cons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orporate/GPGFin/gpgPLAN/GENACTG/Year2000/JUL_2000/IS_GPG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orporate/GPGFin/gpgPLAN/GENACTG/Year2000/Jun_2000/IS_GPG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orporate/GPGFin/gpgPLAN/GENACTG/Year2000/Aug_2000/IS_ClnFls_EOT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4YTD"/>
      <sheetName val="04CM"/>
      <sheetName val="04YTDDET"/>
      <sheetName val="04CMDET"/>
      <sheetName val="Feb+FLASH"/>
      <sheetName val="03CurMo"/>
      <sheetName val="03YTD"/>
      <sheetName val="03CMDET"/>
      <sheetName val="03YTDDET"/>
      <sheetName val="02YTD"/>
      <sheetName val="02CurMo"/>
      <sheetName val="02YTDDET"/>
      <sheetName val="02CMDET"/>
      <sheetName val="01YTD"/>
      <sheetName val="01CurMo"/>
      <sheetName val="01YTDDET"/>
      <sheetName val="01CMDET"/>
    </sheetNames>
    <sheetDataSet>
      <sheetData sheetId="0"/>
      <sheetData sheetId="1"/>
      <sheetData sheetId="2"/>
      <sheetData sheetId="3"/>
      <sheetData sheetId="4"/>
      <sheetData sheetId="5"/>
      <sheetData sheetId="6">
        <row r="36">
          <cell r="I36">
            <v>11877.292</v>
          </cell>
          <cell r="J36">
            <v>4580.545</v>
          </cell>
          <cell r="K36">
            <v>0</v>
          </cell>
          <cell r="L36">
            <v>0</v>
          </cell>
          <cell r="M36">
            <v>192.499</v>
          </cell>
          <cell r="N36">
            <v>0</v>
          </cell>
          <cell r="O36">
            <v>0</v>
          </cell>
          <cell r="P36">
            <v>0</v>
          </cell>
          <cell r="Q36">
            <v>33.464</v>
          </cell>
          <cell r="R36">
            <v>27</v>
          </cell>
        </row>
        <row r="36">
          <cell r="U36">
            <v>0</v>
          </cell>
          <cell r="V36">
            <v>0</v>
          </cell>
        </row>
        <row r="43">
          <cell r="I43">
            <v>7.003</v>
          </cell>
          <cell r="J43">
            <v>0</v>
          </cell>
          <cell r="K43">
            <v>6265.098</v>
          </cell>
          <cell r="L43">
            <v>1844.481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</row>
        <row r="43">
          <cell r="U43">
            <v>0</v>
          </cell>
          <cell r="V43">
            <v>0</v>
          </cell>
        </row>
        <row r="46">
          <cell r="I46">
            <v>722.312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</row>
        <row r="46">
          <cell r="U46">
            <v>0</v>
          </cell>
          <cell r="V46">
            <v>0</v>
          </cell>
        </row>
        <row r="62">
          <cell r="I62">
            <v>-2273.899</v>
          </cell>
          <cell r="J62">
            <v>541.747</v>
          </cell>
          <cell r="K62">
            <v>0</v>
          </cell>
          <cell r="L62">
            <v>470.364</v>
          </cell>
          <cell r="M62">
            <v>-52.871</v>
          </cell>
          <cell r="N62">
            <v>0</v>
          </cell>
          <cell r="O62">
            <v>-11.801</v>
          </cell>
          <cell r="P62">
            <v>-1.735</v>
          </cell>
          <cell r="Q62">
            <v>-2770.72</v>
          </cell>
          <cell r="R62">
            <v>-9</v>
          </cell>
        </row>
        <row r="62">
          <cell r="U62">
            <v>-435.236</v>
          </cell>
          <cell r="V62">
            <v>0</v>
          </cell>
        </row>
        <row r="65">
          <cell r="I65">
            <v>57080.097</v>
          </cell>
          <cell r="J65">
            <v>14708.177</v>
          </cell>
          <cell r="K65">
            <v>6279.249</v>
          </cell>
          <cell r="L65">
            <v>850.993</v>
          </cell>
          <cell r="M65">
            <v>-179.904</v>
          </cell>
          <cell r="N65">
            <v>9.21000000000002</v>
          </cell>
          <cell r="O65">
            <v>1070.455</v>
          </cell>
          <cell r="P65">
            <v>-190.632</v>
          </cell>
          <cell r="Q65">
            <v>2409.137</v>
          </cell>
          <cell r="R65">
            <v>5.48200000000001</v>
          </cell>
        </row>
        <row r="65">
          <cell r="U65">
            <v>3911.949</v>
          </cell>
          <cell r="V65">
            <v>0</v>
          </cell>
        </row>
        <row r="72">
          <cell r="I72">
            <v>4012.957</v>
          </cell>
          <cell r="J72">
            <v>223.156</v>
          </cell>
          <cell r="K72">
            <v>0</v>
          </cell>
          <cell r="L72">
            <v>-879.819</v>
          </cell>
          <cell r="M72">
            <v>-39.038</v>
          </cell>
          <cell r="N72">
            <v>0</v>
          </cell>
          <cell r="O72">
            <v>-83.646</v>
          </cell>
          <cell r="P72">
            <v>0</v>
          </cell>
          <cell r="Q72">
            <v>-288.045</v>
          </cell>
          <cell r="R72">
            <v>0</v>
          </cell>
        </row>
        <row r="72">
          <cell r="U72">
            <v>-9974.313</v>
          </cell>
          <cell r="V72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07YTD "/>
      <sheetName val="07YTDDET "/>
      <sheetName val="07CM "/>
      <sheetName val="07CMDET "/>
      <sheetName val="MAY+FLASH"/>
      <sheetName val="06YTD"/>
      <sheetName val="06YTDDET"/>
      <sheetName val="06CM"/>
      <sheetName val="06CMDET"/>
      <sheetName val="05CM "/>
      <sheetName val="05CMDET"/>
      <sheetName val="05YTD "/>
      <sheetName val="05YTDDET"/>
      <sheetName val="MarFlash"/>
      <sheetName val="04CM"/>
      <sheetName val="04CMDET"/>
      <sheetName val="04YTD"/>
      <sheetName val="04YTDDET"/>
      <sheetName val="03CM"/>
      <sheetName val="03CMDET"/>
      <sheetName val="03YTD"/>
      <sheetName val="03YTDDET"/>
      <sheetName val="02CM"/>
      <sheetName val="02CMDET"/>
      <sheetName val="02YTD"/>
      <sheetName val="02YTDDET"/>
      <sheetName val="01YTD"/>
      <sheetName val="01YTDDET"/>
      <sheetName val="08YTD "/>
    </sheetNames>
    <sheetDataSet>
      <sheetData sheetId="0">
        <row r="73">
          <cell r="N73">
            <v>10.512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JUNE_MO "/>
      <sheetName val="JUNE_YTD "/>
      <sheetName val="MAY_MO"/>
      <sheetName val="MAY_YTD"/>
      <sheetName val="APR_MO"/>
      <sheetName val="APR_YTD"/>
      <sheetName val="MAR_MO"/>
      <sheetName val="MAR_YTD"/>
      <sheetName val="FEB_YTD"/>
      <sheetName val="FEB_MO"/>
      <sheetName val="JAN_YTD"/>
    </sheetNames>
    <sheetDataSet>
      <sheetData sheetId="0">
        <row r="50">
          <cell r="H50">
            <v>9</v>
          </cell>
        </row>
      </sheetData>
      <sheetData sheetId="1">
        <row r="8">
          <cell r="H8">
            <v>-2287.618</v>
          </cell>
        </row>
        <row r="12">
          <cell r="H12">
            <v>30.378</v>
          </cell>
        </row>
        <row r="15">
          <cell r="H15">
            <v>3927.97</v>
          </cell>
        </row>
        <row r="16">
          <cell r="H16">
            <v>3400</v>
          </cell>
        </row>
        <row r="17">
          <cell r="H17">
            <v>162</v>
          </cell>
        </row>
        <row r="20">
          <cell r="H20">
            <v>2666</v>
          </cell>
        </row>
        <row r="21">
          <cell r="H21">
            <v>0</v>
          </cell>
        </row>
        <row r="24">
          <cell r="H24">
            <v>7</v>
          </cell>
        </row>
        <row r="26">
          <cell r="H26">
            <v>235</v>
          </cell>
        </row>
        <row r="37">
          <cell r="H37">
            <v>-6770</v>
          </cell>
        </row>
        <row r="48">
          <cell r="H48">
            <v>0</v>
          </cell>
        </row>
        <row r="50">
          <cell r="H50">
            <v>3547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MAY_MO"/>
      <sheetName val="MAY_YTD"/>
      <sheetName val="APR_MO"/>
      <sheetName val="APR_YTD"/>
      <sheetName val="MAR_MO"/>
      <sheetName val="MAR_YTD"/>
      <sheetName val="FEB_YTD"/>
      <sheetName val="FEB_MO"/>
      <sheetName val="JAN_YTD"/>
    </sheetNames>
    <sheetDataSet>
      <sheetData sheetId="0"/>
      <sheetData sheetId="1">
        <row r="8">
          <cell r="H8">
            <v>-667.081</v>
          </cell>
        </row>
        <row r="12">
          <cell r="H12">
            <v>25.315</v>
          </cell>
        </row>
        <row r="15">
          <cell r="H15">
            <v>1382.155</v>
          </cell>
        </row>
        <row r="16">
          <cell r="H16">
            <v>3400</v>
          </cell>
        </row>
        <row r="17">
          <cell r="H17">
            <v>154</v>
          </cell>
        </row>
        <row r="20">
          <cell r="H20">
            <v>2714</v>
          </cell>
        </row>
        <row r="21">
          <cell r="H21">
            <v>0</v>
          </cell>
        </row>
        <row r="24">
          <cell r="H24">
            <v>-3</v>
          </cell>
        </row>
        <row r="26">
          <cell r="H26">
            <v>145</v>
          </cell>
        </row>
        <row r="37">
          <cell r="H37">
            <v>-6770</v>
          </cell>
        </row>
        <row r="50">
          <cell r="H50">
            <v>-3538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05CM "/>
      <sheetName val="05CMDET"/>
      <sheetName val="05YTD "/>
      <sheetName val="05YTDDET"/>
      <sheetName val="04CM"/>
      <sheetName val="04CMDET"/>
      <sheetName val="04YTD"/>
      <sheetName val="04YTDDET"/>
      <sheetName val="MarFlash"/>
      <sheetName val="03CM"/>
      <sheetName val="03CMDET"/>
      <sheetName val="03YTD"/>
      <sheetName val="03YTDDET"/>
      <sheetName val="02CM"/>
      <sheetName val="02CMDET"/>
      <sheetName val="02YTD"/>
      <sheetName val="02YTDDET"/>
      <sheetName val="01YTDDET"/>
      <sheetName val="01YTD"/>
    </sheetNames>
    <sheetDataSet>
      <sheetData sheetId="0"/>
      <sheetData sheetId="1"/>
      <sheetData sheetId="2">
        <row r="36">
          <cell r="J36">
            <v>18910.375</v>
          </cell>
          <cell r="K36">
            <v>8111.436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22.311</v>
          </cell>
        </row>
        <row r="36">
          <cell r="T36">
            <v>22.311</v>
          </cell>
          <cell r="U36">
            <v>0</v>
          </cell>
          <cell r="V36">
            <v>0</v>
          </cell>
        </row>
        <row r="43">
          <cell r="J43">
            <v>1523.14</v>
          </cell>
          <cell r="K43">
            <v>0</v>
          </cell>
          <cell r="L43">
            <v>14141.348</v>
          </cell>
          <cell r="M43">
            <v>2946.6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3">
          <cell r="T43">
            <v>0</v>
          </cell>
          <cell r="U43">
            <v>0</v>
          </cell>
          <cell r="V43">
            <v>0</v>
          </cell>
        </row>
        <row r="46">
          <cell r="J46">
            <v>961.338</v>
          </cell>
          <cell r="K46">
            <v>-0.002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6">
          <cell r="T46">
            <v>0</v>
          </cell>
          <cell r="U46">
            <v>0</v>
          </cell>
          <cell r="V46">
            <v>0</v>
          </cell>
        </row>
        <row r="62">
          <cell r="J62">
            <v>10207.586</v>
          </cell>
          <cell r="K62">
            <v>532.562</v>
          </cell>
          <cell r="L62">
            <v>0</v>
          </cell>
          <cell r="M62">
            <v>270.377</v>
          </cell>
          <cell r="N62">
            <v>0</v>
          </cell>
          <cell r="O62">
            <v>0</v>
          </cell>
          <cell r="P62">
            <v>-3.036</v>
          </cell>
          <cell r="Q62">
            <v>16.887</v>
          </cell>
        </row>
        <row r="62">
          <cell r="T62">
            <v>16.887</v>
          </cell>
          <cell r="U62">
            <v>0</v>
          </cell>
          <cell r="V62">
            <v>0</v>
          </cell>
        </row>
        <row r="65">
          <cell r="J65">
            <v>74259.728</v>
          </cell>
          <cell r="K65">
            <v>23548.338</v>
          </cell>
          <cell r="L65">
            <v>14141.348</v>
          </cell>
          <cell r="M65">
            <v>1443.74</v>
          </cell>
          <cell r="N65">
            <v>-6.724</v>
          </cell>
          <cell r="O65">
            <v>280.016</v>
          </cell>
          <cell r="P65">
            <v>86.9459999999998</v>
          </cell>
          <cell r="Q65">
            <v>-18.398</v>
          </cell>
        </row>
        <row r="65">
          <cell r="T65">
            <v>-18.398</v>
          </cell>
          <cell r="U65">
            <v>5462.493</v>
          </cell>
          <cell r="V65">
            <v>-45.553</v>
          </cell>
        </row>
        <row r="72">
          <cell r="J72">
            <v>6010.723</v>
          </cell>
          <cell r="K72">
            <v>-458.018</v>
          </cell>
          <cell r="L72">
            <v>0</v>
          </cell>
          <cell r="M72">
            <v>-1463.283</v>
          </cell>
          <cell r="N72">
            <v>0</v>
          </cell>
          <cell r="O72">
            <v>-135.584</v>
          </cell>
          <cell r="P72">
            <v>0</v>
          </cell>
          <cell r="Q72">
            <v>0</v>
          </cell>
        </row>
        <row r="72">
          <cell r="T72">
            <v>0</v>
          </cell>
          <cell r="U72">
            <v>-15747.71</v>
          </cell>
          <cell r="V7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04CM"/>
      <sheetName val="04CMDET"/>
      <sheetName val="04YTD"/>
      <sheetName val="04YTDDET"/>
      <sheetName val="MarFlash"/>
      <sheetName val="03CM"/>
      <sheetName val="03CMDET"/>
      <sheetName val="03YTD"/>
      <sheetName val="03YTDDET"/>
      <sheetName val="02CM"/>
      <sheetName val="02CMDET"/>
      <sheetName val="02YTD"/>
      <sheetName val="02YTDDET"/>
      <sheetName val="01YTDDET"/>
      <sheetName val="01YTD"/>
    </sheetNames>
    <sheetDataSet>
      <sheetData sheetId="0"/>
      <sheetData sheetId="1"/>
      <sheetData sheetId="2">
        <row r="36">
          <cell r="J36">
            <v>15000.941</v>
          </cell>
          <cell r="K36">
            <v>6457.035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22.311</v>
          </cell>
          <cell r="R36">
            <v>0</v>
          </cell>
        </row>
        <row r="36">
          <cell r="U36">
            <v>0</v>
          </cell>
          <cell r="V36">
            <v>0</v>
          </cell>
        </row>
        <row r="43">
          <cell r="J43">
            <v>1156.876</v>
          </cell>
          <cell r="K43">
            <v>0</v>
          </cell>
          <cell r="L43">
            <v>11728.146</v>
          </cell>
          <cell r="M43">
            <v>2273.599</v>
          </cell>
          <cell r="N43">
            <v>0</v>
          </cell>
        </row>
        <row r="43">
          <cell r="U43">
            <v>0</v>
          </cell>
          <cell r="V43">
            <v>0</v>
          </cell>
        </row>
        <row r="46">
          <cell r="J46">
            <v>-6.615</v>
          </cell>
          <cell r="K46">
            <v>-0.002</v>
          </cell>
          <cell r="L46">
            <v>0</v>
          </cell>
          <cell r="M46">
            <v>0</v>
          </cell>
          <cell r="N46">
            <v>0</v>
          </cell>
        </row>
        <row r="62">
          <cell r="J62">
            <v>6678.413</v>
          </cell>
          <cell r="K62">
            <v>474.065</v>
          </cell>
          <cell r="L62">
            <v>0</v>
          </cell>
          <cell r="M62">
            <v>217.478</v>
          </cell>
          <cell r="N62">
            <v>0</v>
          </cell>
          <cell r="O62">
            <v>0</v>
          </cell>
          <cell r="P62">
            <v>-2.428</v>
          </cell>
          <cell r="Q62">
            <v>11.825</v>
          </cell>
          <cell r="R62">
            <v>0</v>
          </cell>
        </row>
        <row r="62">
          <cell r="U62">
            <v>0</v>
          </cell>
          <cell r="V62">
            <v>0</v>
          </cell>
        </row>
        <row r="65">
          <cell r="J65">
            <v>64042.152</v>
          </cell>
          <cell r="K65">
            <v>18401.785</v>
          </cell>
          <cell r="L65">
            <v>11728.146</v>
          </cell>
          <cell r="M65">
            <v>1113.874</v>
          </cell>
          <cell r="N65">
            <v>-0.341000000000001</v>
          </cell>
          <cell r="O65">
            <v>117.783</v>
          </cell>
          <cell r="P65">
            <v>83.777</v>
          </cell>
          <cell r="Q65">
            <v>-10.918</v>
          </cell>
          <cell r="R65">
            <v>0</v>
          </cell>
        </row>
        <row r="65">
          <cell r="U65">
            <v>3885.797</v>
          </cell>
          <cell r="V65">
            <v>0</v>
          </cell>
        </row>
        <row r="72">
          <cell r="J72">
            <v>4838.658</v>
          </cell>
          <cell r="K72">
            <v>-223.82</v>
          </cell>
          <cell r="L72">
            <v>0</v>
          </cell>
          <cell r="M72">
            <v>-1170.626</v>
          </cell>
          <cell r="N72">
            <v>0</v>
          </cell>
          <cell r="O72">
            <v>-108.468</v>
          </cell>
          <cell r="P72">
            <v>0</v>
          </cell>
          <cell r="Q72">
            <v>0</v>
          </cell>
          <cell r="R72">
            <v>0</v>
          </cell>
        </row>
        <row r="72">
          <cell r="U72">
            <v>-12701.55</v>
          </cell>
          <cell r="V72">
            <v>0</v>
          </cell>
        </row>
        <row r="72">
          <cell r="X7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APR_MO"/>
      <sheetName val="APR_YTD"/>
      <sheetName val="MAR_MO"/>
      <sheetName val="MAR_YTD"/>
      <sheetName val="FEB_YTD"/>
      <sheetName val="FEB_MO"/>
      <sheetName val="JAN_YTD"/>
    </sheetNames>
    <sheetDataSet>
      <sheetData sheetId="0"/>
      <sheetData sheetId="1">
        <row r="8">
          <cell r="H8">
            <v>-808.021</v>
          </cell>
        </row>
        <row r="12">
          <cell r="H12">
            <v>20.252</v>
          </cell>
        </row>
        <row r="15">
          <cell r="H15">
            <v>1599.819</v>
          </cell>
        </row>
        <row r="16">
          <cell r="H16">
            <v>1666</v>
          </cell>
        </row>
        <row r="17">
          <cell r="H17">
            <v>157</v>
          </cell>
        </row>
        <row r="20">
          <cell r="H20">
            <v>2928</v>
          </cell>
        </row>
        <row r="21">
          <cell r="H21">
            <v>0</v>
          </cell>
        </row>
        <row r="25">
          <cell r="H25">
            <v>-1</v>
          </cell>
        </row>
        <row r="27">
          <cell r="H27">
            <v>91</v>
          </cell>
        </row>
        <row r="38">
          <cell r="H38">
            <v>16230</v>
          </cell>
        </row>
        <row r="51">
          <cell r="H51">
            <v>-3475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EquityEarn"/>
      <sheetName val="12CM"/>
      <sheetName val="12CMDET"/>
      <sheetName val="12YTD"/>
      <sheetName val="12YTDDET"/>
      <sheetName val="11CM"/>
      <sheetName val="11CMDET"/>
      <sheetName val="Nov+Flash"/>
      <sheetName val="11YTD"/>
      <sheetName val="11YTDDET"/>
      <sheetName val="10CM"/>
      <sheetName val="10CMDET"/>
      <sheetName val="10YTD"/>
      <sheetName val="10YTDDET"/>
      <sheetName val="09CM"/>
      <sheetName val="09CMDET"/>
      <sheetName val="09YTD"/>
      <sheetName val="09YTDDET"/>
      <sheetName val="08CM"/>
      <sheetName val="08CMDET"/>
      <sheetName val="Aug+Flash"/>
      <sheetName val="08YTD"/>
      <sheetName val="08YTDDET"/>
      <sheetName val="07CM"/>
      <sheetName val="07CMDET"/>
      <sheetName val="07YTD"/>
      <sheetName val="07YTDDET"/>
      <sheetName val="06CM"/>
      <sheetName val="06CMDET"/>
      <sheetName val="06YTD"/>
      <sheetName val="06YTDDET"/>
      <sheetName val="JuneFlashYTD"/>
      <sheetName val="01CMDET"/>
      <sheetName val="01CM"/>
      <sheetName val="01YTDDET"/>
      <sheetName val="01YTD"/>
      <sheetName val="03YT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36">
          <cell r="J36">
            <v>3812.694</v>
          </cell>
          <cell r="K36">
            <v>1603.177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</row>
        <row r="43">
          <cell r="J43">
            <v>248.172</v>
          </cell>
          <cell r="K43">
            <v>0</v>
          </cell>
          <cell r="L43">
            <v>2532.381</v>
          </cell>
          <cell r="M43">
            <v>548.637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6">
          <cell r="J46">
            <v>-108.812</v>
          </cell>
          <cell r="K46">
            <v>-0.003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</row>
        <row r="62">
          <cell r="J62">
            <v>1670.937</v>
          </cell>
          <cell r="K62">
            <v>238.419</v>
          </cell>
          <cell r="L62">
            <v>0</v>
          </cell>
          <cell r="M62">
            <v>39.507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</row>
        <row r="62">
          <cell r="U62">
            <v>0</v>
          </cell>
        </row>
        <row r="65">
          <cell r="J65">
            <v>21637.741</v>
          </cell>
          <cell r="K65">
            <v>5247.51</v>
          </cell>
          <cell r="L65">
            <v>2532.381</v>
          </cell>
          <cell r="M65">
            <v>439.359</v>
          </cell>
          <cell r="N65">
            <v>0</v>
          </cell>
          <cell r="O65">
            <v>177.444</v>
          </cell>
          <cell r="P65">
            <v>21.729</v>
          </cell>
          <cell r="Q65">
            <v>-0.199</v>
          </cell>
          <cell r="R65">
            <v>0</v>
          </cell>
          <cell r="S65">
            <v>0</v>
          </cell>
        </row>
        <row r="65">
          <cell r="U65">
            <v>1374.753</v>
          </cell>
          <cell r="V65">
            <v>0</v>
          </cell>
        </row>
        <row r="72">
          <cell r="J72">
            <v>1208.723</v>
          </cell>
          <cell r="K72">
            <v>-150.659</v>
          </cell>
          <cell r="L72">
            <v>0</v>
          </cell>
          <cell r="M72">
            <v>-292.657</v>
          </cell>
          <cell r="N72">
            <v>0</v>
          </cell>
          <cell r="O72">
            <v>-27.117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</row>
        <row r="72">
          <cell r="U72">
            <v>-3218.463</v>
          </cell>
          <cell r="V72">
            <v>0</v>
          </cell>
        </row>
      </sheetData>
      <sheetData sheetId="36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DecCM"/>
      <sheetName val="DECYTD"/>
      <sheetName val="NovCM"/>
      <sheetName val="NOVYTD"/>
      <sheetName val="OCTCM"/>
      <sheetName val="OCTYTD"/>
      <sheetName val="SEPTCM"/>
      <sheetName val="SEPTYTD"/>
      <sheetName val="AUGCM"/>
      <sheetName val="AUGYTD"/>
      <sheetName val="JULYCM"/>
      <sheetName val="JULYYTD"/>
      <sheetName val="JUNECM"/>
      <sheetName val="JUNEYTD"/>
      <sheetName val="May MO"/>
      <sheetName val="May YTD"/>
      <sheetName val="Apr_YTD"/>
      <sheetName val="Apr_MO"/>
      <sheetName val="Mar_YTD"/>
      <sheetName val="MAR_MO"/>
      <sheetName val="FEB_YTD"/>
      <sheetName val="FEB_MO"/>
      <sheetName val="JAN_YT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8">
          <cell r="H8">
            <v>406.318</v>
          </cell>
        </row>
        <row r="13">
          <cell r="H13">
            <v>5.063</v>
          </cell>
        </row>
        <row r="19">
          <cell r="H19">
            <v>-624.74</v>
          </cell>
        </row>
        <row r="24">
          <cell r="H24">
            <v>3323</v>
          </cell>
        </row>
        <row r="25">
          <cell r="H25">
            <v>0</v>
          </cell>
        </row>
        <row r="29">
          <cell r="H29">
            <v>0</v>
          </cell>
        </row>
        <row r="31">
          <cell r="H31">
            <v>37</v>
          </cell>
        </row>
        <row r="42">
          <cell r="J42">
            <v>-43400</v>
          </cell>
        </row>
        <row r="43">
          <cell r="J43">
            <v>-77</v>
          </cell>
        </row>
        <row r="53">
          <cell r="H53">
            <v>-3186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MarFlash"/>
      <sheetName val="03CM"/>
      <sheetName val="03CMDET"/>
      <sheetName val="03YTD"/>
      <sheetName val="03YTDDET"/>
      <sheetName val="02CM"/>
      <sheetName val="02CMDET"/>
      <sheetName val="02YTD"/>
      <sheetName val="02YTDDET"/>
      <sheetName val="01YTDDET"/>
      <sheetName val="01YTD"/>
    </sheetNames>
    <sheetDataSet>
      <sheetData sheetId="0"/>
      <sheetData sheetId="1"/>
      <sheetData sheetId="2"/>
      <sheetData sheetId="3">
        <row r="36">
          <cell r="J36">
            <v>11137.832</v>
          </cell>
          <cell r="K36">
            <v>4828.086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22.311</v>
          </cell>
          <cell r="R36">
            <v>0</v>
          </cell>
        </row>
        <row r="36">
          <cell r="U36">
            <v>0</v>
          </cell>
          <cell r="V36">
            <v>0</v>
          </cell>
        </row>
        <row r="43">
          <cell r="J43">
            <v>881.696</v>
          </cell>
          <cell r="K43">
            <v>0</v>
          </cell>
          <cell r="L43">
            <v>6451.653</v>
          </cell>
          <cell r="M43">
            <v>1756.121</v>
          </cell>
          <cell r="N43">
            <v>0</v>
          </cell>
        </row>
        <row r="43">
          <cell r="U43">
            <v>0</v>
          </cell>
          <cell r="V43">
            <v>0</v>
          </cell>
        </row>
        <row r="43">
          <cell r="X43">
            <v>-2119.404</v>
          </cell>
        </row>
        <row r="46">
          <cell r="J46">
            <v>-6.615</v>
          </cell>
          <cell r="K46">
            <v>-0.002</v>
          </cell>
          <cell r="L46">
            <v>0</v>
          </cell>
          <cell r="M46">
            <v>0</v>
          </cell>
          <cell r="N46">
            <v>0</v>
          </cell>
        </row>
        <row r="62">
          <cell r="J62">
            <v>5811.631</v>
          </cell>
          <cell r="K62">
            <v>380.64</v>
          </cell>
          <cell r="L62">
            <v>0</v>
          </cell>
          <cell r="M62">
            <v>162.474</v>
          </cell>
          <cell r="N62">
            <v>0</v>
          </cell>
          <cell r="O62">
            <v>0</v>
          </cell>
          <cell r="P62">
            <v>-1.821</v>
          </cell>
          <cell r="Q62">
            <v>6.764</v>
          </cell>
          <cell r="R62">
            <v>0</v>
          </cell>
        </row>
        <row r="62">
          <cell r="U62">
            <v>0</v>
          </cell>
          <cell r="V62">
            <v>0</v>
          </cell>
        </row>
        <row r="62">
          <cell r="X62">
            <v>15.189</v>
          </cell>
        </row>
        <row r="65">
          <cell r="J65">
            <v>62672.226</v>
          </cell>
          <cell r="K65">
            <v>13255.386</v>
          </cell>
          <cell r="L65">
            <v>6451.653</v>
          </cell>
          <cell r="M65">
            <v>892.487</v>
          </cell>
          <cell r="N65">
            <v>-0.285000000000002</v>
          </cell>
          <cell r="O65">
            <v>389.496</v>
          </cell>
          <cell r="P65">
            <v>63.835</v>
          </cell>
          <cell r="Q65">
            <v>-10.381</v>
          </cell>
          <cell r="R65">
            <v>0</v>
          </cell>
        </row>
        <row r="65">
          <cell r="U65">
            <v>2442.944</v>
          </cell>
          <cell r="V65">
            <v>-0.000999999999999446</v>
          </cell>
        </row>
        <row r="65">
          <cell r="X65">
            <v>-1307.355</v>
          </cell>
        </row>
        <row r="72">
          <cell r="J72">
            <v>3619.298</v>
          </cell>
          <cell r="K72">
            <v>-816.1</v>
          </cell>
          <cell r="L72">
            <v>0</v>
          </cell>
          <cell r="M72">
            <v>-877.97</v>
          </cell>
          <cell r="N72">
            <v>0</v>
          </cell>
          <cell r="O72">
            <v>-81.351</v>
          </cell>
          <cell r="P72">
            <v>0</v>
          </cell>
          <cell r="Q72">
            <v>0</v>
          </cell>
          <cell r="R72">
            <v>0</v>
          </cell>
        </row>
        <row r="72">
          <cell r="U72">
            <v>-9655.388</v>
          </cell>
          <cell r="V72">
            <v>0</v>
          </cell>
        </row>
        <row r="72">
          <cell r="X72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MAR_MO"/>
      <sheetName val="MAR_YTD"/>
      <sheetName val="FEB_YTD"/>
      <sheetName val="FEB_MO"/>
      <sheetName val="JAN_YTD"/>
    </sheetNames>
    <sheetDataSet>
      <sheetData sheetId="0"/>
      <sheetData sheetId="1">
        <row r="16">
          <cell r="H16">
            <v>1666</v>
          </cell>
        </row>
        <row r="17">
          <cell r="H17">
            <v>255</v>
          </cell>
        </row>
        <row r="20">
          <cell r="H20">
            <v>3257</v>
          </cell>
        </row>
        <row r="21">
          <cell r="H21">
            <v>0</v>
          </cell>
        </row>
        <row r="25">
          <cell r="H25">
            <v>-8</v>
          </cell>
        </row>
        <row r="27">
          <cell r="H27">
            <v>28</v>
          </cell>
        </row>
        <row r="38">
          <cell r="H38">
            <v>-12700</v>
          </cell>
        </row>
        <row r="52">
          <cell r="H52">
            <v>-3328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09CM "/>
      <sheetName val="09CMDET "/>
      <sheetName val="09YTD"/>
      <sheetName val="09YTDDET"/>
      <sheetName val="08CM  "/>
      <sheetName val="08CMDET  "/>
      <sheetName val="08YTD  "/>
      <sheetName val="08YTDDET "/>
      <sheetName val="07CM "/>
      <sheetName val="07CMDET "/>
      <sheetName val="07YTD "/>
      <sheetName val="07YTDDET "/>
      <sheetName val="06CM"/>
      <sheetName val="06CMDET"/>
      <sheetName val="06YTD"/>
      <sheetName val="06YTDDET"/>
      <sheetName val="May+Flash"/>
      <sheetName val="05CM "/>
      <sheetName val="05CMDET"/>
      <sheetName val="05YTD "/>
      <sheetName val="05YTDDET"/>
      <sheetName val="04CM"/>
      <sheetName val="04CMDET"/>
      <sheetName val="04YTD"/>
      <sheetName val="04YTDDET"/>
      <sheetName val="MarFlash"/>
      <sheetName val="03CM"/>
      <sheetName val="03CMDET"/>
      <sheetName val="03YTD"/>
      <sheetName val="03YTDDET"/>
      <sheetName val="02CM"/>
      <sheetName val="02CMDET"/>
      <sheetName val="02YTD"/>
      <sheetName val="02YTDDET"/>
      <sheetName val="01YTDDET"/>
      <sheetName val="01YTD"/>
    </sheetNames>
    <sheetDataSet>
      <sheetData sheetId="0"/>
      <sheetData sheetId="1"/>
      <sheetData sheetId="2">
        <row r="36">
          <cell r="J36">
            <v>34809.866</v>
          </cell>
          <cell r="K36">
            <v>14284.134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6">
          <cell r="U36">
            <v>0</v>
          </cell>
          <cell r="V36">
            <v>0</v>
          </cell>
          <cell r="W36">
            <v>0</v>
          </cell>
        </row>
        <row r="43">
          <cell r="J43">
            <v>2936.247</v>
          </cell>
          <cell r="K43">
            <v>0</v>
          </cell>
          <cell r="L43">
            <v>34969.702</v>
          </cell>
          <cell r="M43">
            <v>5568.893</v>
          </cell>
          <cell r="N43">
            <v>0</v>
          </cell>
          <cell r="O43">
            <v>0</v>
          </cell>
          <cell r="P43">
            <v>0</v>
          </cell>
        </row>
        <row r="43">
          <cell r="U43">
            <v>0</v>
          </cell>
          <cell r="V43">
            <v>0</v>
          </cell>
          <cell r="W43">
            <v>0</v>
          </cell>
        </row>
        <row r="46">
          <cell r="J46">
            <v>976.603</v>
          </cell>
          <cell r="K46">
            <v>-0.002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6">
          <cell r="U46">
            <v>0</v>
          </cell>
          <cell r="V46">
            <v>0</v>
          </cell>
          <cell r="W46">
            <v>0</v>
          </cell>
        </row>
        <row r="62">
          <cell r="J62">
            <v>30258.355</v>
          </cell>
          <cell r="K62">
            <v>441.401</v>
          </cell>
          <cell r="L62">
            <v>0</v>
          </cell>
          <cell r="M62">
            <v>408.951</v>
          </cell>
          <cell r="N62">
            <v>0</v>
          </cell>
          <cell r="O62">
            <v>0</v>
          </cell>
          <cell r="P62">
            <v>-5.464</v>
          </cell>
        </row>
        <row r="62">
          <cell r="U62">
            <v>-777.089</v>
          </cell>
          <cell r="V62">
            <v>0</v>
          </cell>
          <cell r="W62">
            <v>0</v>
          </cell>
        </row>
        <row r="65">
          <cell r="J65">
            <v>117015.421</v>
          </cell>
          <cell r="K65">
            <v>48911.522</v>
          </cell>
          <cell r="L65">
            <v>34969.702</v>
          </cell>
          <cell r="M65">
            <v>2872.867</v>
          </cell>
          <cell r="N65">
            <v>-16.594</v>
          </cell>
          <cell r="O65">
            <v>850.023</v>
          </cell>
          <cell r="P65">
            <v>160.408</v>
          </cell>
        </row>
        <row r="65">
          <cell r="U65">
            <v>3737.033</v>
          </cell>
          <cell r="V65">
            <v>-124.149</v>
          </cell>
          <cell r="W65">
            <v>-56.227</v>
          </cell>
        </row>
        <row r="72">
          <cell r="J72">
            <v>10820.571</v>
          </cell>
          <cell r="K72">
            <v>-87.9200000000004</v>
          </cell>
        </row>
        <row r="72">
          <cell r="M72">
            <v>-2633.911</v>
          </cell>
        </row>
        <row r="72">
          <cell r="O72">
            <v>-344.643</v>
          </cell>
          <cell r="P72">
            <v>0</v>
          </cell>
        </row>
        <row r="72">
          <cell r="U72">
            <v>-28852.926</v>
          </cell>
          <cell r="V72">
            <v>0</v>
          </cell>
          <cell r="W7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EquityEarn"/>
      <sheetName val="02CM"/>
      <sheetName val="02CMDET"/>
      <sheetName val="02YTD"/>
      <sheetName val="02YTDDET"/>
      <sheetName val="01YTDDET"/>
      <sheetName val="01YTD"/>
    </sheetNames>
    <sheetDataSet>
      <sheetData sheetId="0"/>
      <sheetData sheetId="1"/>
      <sheetData sheetId="2"/>
      <sheetData sheetId="3">
        <row r="36">
          <cell r="J36">
            <v>7224.633</v>
          </cell>
          <cell r="K36">
            <v>3209.634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11.154</v>
          </cell>
          <cell r="R36">
            <v>0</v>
          </cell>
        </row>
        <row r="36">
          <cell r="U36">
            <v>0</v>
          </cell>
          <cell r="V36">
            <v>0</v>
          </cell>
        </row>
        <row r="43">
          <cell r="J43">
            <v>594.305</v>
          </cell>
          <cell r="K43">
            <v>0</v>
          </cell>
          <cell r="L43">
            <v>4387.268</v>
          </cell>
          <cell r="M43">
            <v>1235.581</v>
          </cell>
          <cell r="N43">
            <v>0</v>
          </cell>
        </row>
        <row r="43">
          <cell r="U43">
            <v>0</v>
          </cell>
          <cell r="V43">
            <v>0</v>
          </cell>
        </row>
        <row r="62">
          <cell r="J62">
            <v>3236.457</v>
          </cell>
          <cell r="K62">
            <v>304.467</v>
          </cell>
          <cell r="L62">
            <v>0</v>
          </cell>
          <cell r="M62">
            <v>107.282</v>
          </cell>
          <cell r="N62">
            <v>0</v>
          </cell>
          <cell r="O62">
            <v>0</v>
          </cell>
          <cell r="P62">
            <v>-1.215</v>
          </cell>
          <cell r="Q62">
            <v>5.913</v>
          </cell>
          <cell r="R62">
            <v>0</v>
          </cell>
        </row>
        <row r="62">
          <cell r="U62">
            <v>0</v>
          </cell>
          <cell r="V62">
            <v>0</v>
          </cell>
        </row>
        <row r="65">
          <cell r="J65">
            <v>41275.297</v>
          </cell>
          <cell r="K65">
            <v>9313.393</v>
          </cell>
          <cell r="L65">
            <v>4387.268</v>
          </cell>
          <cell r="M65">
            <v>596.937</v>
          </cell>
          <cell r="N65">
            <v>0.00100000000000078</v>
          </cell>
          <cell r="O65">
            <v>345.347</v>
          </cell>
          <cell r="P65">
            <v>42.9329999999999</v>
          </cell>
          <cell r="Q65">
            <v>-26</v>
          </cell>
          <cell r="R65">
            <v>0</v>
          </cell>
        </row>
        <row r="65">
          <cell r="U65">
            <v>1160.542</v>
          </cell>
          <cell r="V65">
            <v>0</v>
          </cell>
        </row>
        <row r="72">
          <cell r="J72">
            <v>2414.014</v>
          </cell>
          <cell r="K72">
            <v>-483.38</v>
          </cell>
          <cell r="L72">
            <v>0</v>
          </cell>
          <cell r="M72">
            <v>-585.313</v>
          </cell>
          <cell r="N72">
            <v>0</v>
          </cell>
          <cell r="O72">
            <v>-54.233</v>
          </cell>
          <cell r="P72">
            <v>0</v>
          </cell>
          <cell r="Q72">
            <v>0</v>
          </cell>
          <cell r="R72">
            <v>0</v>
          </cell>
        </row>
        <row r="72">
          <cell r="U72">
            <v>-8022.66</v>
          </cell>
          <cell r="V72">
            <v>0</v>
          </cell>
        </row>
      </sheetData>
      <sheetData sheetId="4"/>
      <sheetData sheetId="5"/>
      <sheetData sheetId="6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FEB_YTD"/>
      <sheetName val="FEB_MO"/>
      <sheetName val="JAN_YTD"/>
    </sheetNames>
    <sheetDataSet>
      <sheetData sheetId="0">
        <row r="8">
          <cell r="H8">
            <v>-936.175</v>
          </cell>
        </row>
        <row r="13">
          <cell r="H13">
            <v>10.126</v>
          </cell>
        </row>
        <row r="19">
          <cell r="H19">
            <v>1558.824</v>
          </cell>
        </row>
        <row r="20">
          <cell r="H20">
            <v>1666</v>
          </cell>
        </row>
        <row r="24">
          <cell r="H24">
            <v>3426</v>
          </cell>
        </row>
        <row r="29">
          <cell r="H29">
            <v>-13</v>
          </cell>
        </row>
        <row r="31">
          <cell r="H31">
            <v>-10</v>
          </cell>
        </row>
        <row r="42">
          <cell r="H42">
            <v>0</v>
          </cell>
        </row>
        <row r="43">
          <cell r="H43">
            <v>238</v>
          </cell>
        </row>
        <row r="56">
          <cell r="J56">
            <v>3435</v>
          </cell>
        </row>
      </sheetData>
      <sheetData sheetId="1">
        <row r="8">
          <cell r="H8">
            <v>-1342.493</v>
          </cell>
        </row>
        <row r="13">
          <cell r="H13">
            <v>5.063</v>
          </cell>
        </row>
        <row r="19">
          <cell r="H19">
            <v>2183.564</v>
          </cell>
        </row>
        <row r="20">
          <cell r="H20">
            <v>1666</v>
          </cell>
        </row>
        <row r="21">
          <cell r="H21">
            <v>-1</v>
          </cell>
        </row>
        <row r="24">
          <cell r="H24">
            <v>103</v>
          </cell>
        </row>
        <row r="29">
          <cell r="H29">
            <v>-13</v>
          </cell>
        </row>
        <row r="31">
          <cell r="H31">
            <v>-47</v>
          </cell>
        </row>
        <row r="42">
          <cell r="H42">
            <v>43400</v>
          </cell>
        </row>
        <row r="43">
          <cell r="H43">
            <v>315</v>
          </cell>
        </row>
        <row r="56">
          <cell r="H56">
            <v>249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EPT_MO "/>
      <sheetName val="SEPT_YTD"/>
      <sheetName val="AUG_MO "/>
      <sheetName val="AUG_YTD "/>
      <sheetName val="JULY_MO "/>
      <sheetName val="JULY_YTD  "/>
      <sheetName val="JUNE_MO "/>
      <sheetName val="JUNE_YTD "/>
      <sheetName val="MAY_MO"/>
      <sheetName val="MAY_YTD"/>
      <sheetName val="APR_MO"/>
      <sheetName val="APR_YTD"/>
      <sheetName val="MAR_MO"/>
      <sheetName val="MAR_YTD"/>
      <sheetName val="FEB_YTD"/>
      <sheetName val="FEB_MO"/>
      <sheetName val="JAN_YTD"/>
    </sheetNames>
    <sheetDataSet>
      <sheetData sheetId="0"/>
      <sheetData sheetId="1">
        <row r="8">
          <cell r="H8">
            <v>725.857</v>
          </cell>
        </row>
        <row r="12">
          <cell r="H12">
            <v>-690.712</v>
          </cell>
        </row>
        <row r="15">
          <cell r="H15">
            <v>-1110.94</v>
          </cell>
        </row>
        <row r="16">
          <cell r="H16">
            <v>5135</v>
          </cell>
        </row>
        <row r="17">
          <cell r="H17">
            <v>-241</v>
          </cell>
        </row>
        <row r="20">
          <cell r="H20">
            <v>2397</v>
          </cell>
        </row>
        <row r="24">
          <cell r="H24">
            <v>21</v>
          </cell>
        </row>
        <row r="26">
          <cell r="H26">
            <v>12</v>
          </cell>
        </row>
        <row r="37">
          <cell r="H37">
            <v>-6770</v>
          </cell>
        </row>
        <row r="46">
          <cell r="H46">
            <v>0</v>
          </cell>
        </row>
        <row r="50">
          <cell r="J50">
            <v>3258</v>
          </cell>
        </row>
        <row r="54">
          <cell r="J54">
            <v>0</v>
          </cell>
        </row>
      </sheetData>
      <sheetData sheetId="2"/>
      <sheetData sheetId="3">
        <row r="8">
          <cell r="H8">
            <v>-2318.708</v>
          </cell>
        </row>
        <row r="12">
          <cell r="H12">
            <v>-690.711</v>
          </cell>
        </row>
        <row r="15">
          <cell r="H15">
            <v>226.62</v>
          </cell>
        </row>
        <row r="16">
          <cell r="H16">
            <v>5135</v>
          </cell>
        </row>
        <row r="17">
          <cell r="H17">
            <v>12</v>
          </cell>
        </row>
        <row r="20">
          <cell r="H20">
            <v>2684</v>
          </cell>
        </row>
        <row r="24">
          <cell r="H24">
            <v>20</v>
          </cell>
        </row>
        <row r="26">
          <cell r="H26">
            <v>13</v>
          </cell>
        </row>
        <row r="37">
          <cell r="H37">
            <v>-6770</v>
          </cell>
        </row>
        <row r="46">
          <cell r="H46">
            <v>0</v>
          </cell>
        </row>
        <row r="50">
          <cell r="J50">
            <v>3610</v>
          </cell>
        </row>
        <row r="54">
          <cell r="J54">
            <v>0</v>
          </cell>
        </row>
      </sheetData>
      <sheetData sheetId="4"/>
      <sheetData sheetId="5">
        <row r="8">
          <cell r="H8">
            <v>-93.4880000000002</v>
          </cell>
        </row>
        <row r="12">
          <cell r="H12">
            <v>-695.774</v>
          </cell>
        </row>
        <row r="15">
          <cell r="H15">
            <v>-86.551</v>
          </cell>
        </row>
        <row r="16">
          <cell r="H16">
            <v>3400</v>
          </cell>
        </row>
        <row r="17">
          <cell r="H17">
            <v>13</v>
          </cell>
        </row>
        <row r="20">
          <cell r="H20">
            <v>2747</v>
          </cell>
        </row>
        <row r="21">
          <cell r="H21">
            <v>0</v>
          </cell>
        </row>
        <row r="24">
          <cell r="H24">
            <v>29</v>
          </cell>
        </row>
        <row r="26">
          <cell r="H26">
            <v>1</v>
          </cell>
        </row>
        <row r="37">
          <cell r="H37">
            <v>-6770</v>
          </cell>
        </row>
        <row r="46">
          <cell r="H46">
            <v>2533</v>
          </cell>
        </row>
        <row r="50">
          <cell r="H50">
            <v>3614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08CM  "/>
      <sheetName val="08CMDET  "/>
      <sheetName val="08YTD  "/>
      <sheetName val="08YTDDET "/>
      <sheetName val="07CM "/>
      <sheetName val="07CMDET "/>
      <sheetName val="07YTD "/>
      <sheetName val="07YTDDET "/>
      <sheetName val="06CM"/>
      <sheetName val="06CMDET"/>
      <sheetName val="06YTD"/>
      <sheetName val="06YTDDET"/>
      <sheetName val="May+Flash"/>
      <sheetName val="05CM "/>
      <sheetName val="05CMDET"/>
      <sheetName val="05YTD "/>
      <sheetName val="05YTDDET"/>
      <sheetName val="04CM"/>
      <sheetName val="04CMDET"/>
      <sheetName val="04YTD"/>
      <sheetName val="04YTDDET"/>
      <sheetName val="MarFlash"/>
      <sheetName val="03CM"/>
      <sheetName val="03CMDET"/>
      <sheetName val="03YTD"/>
      <sheetName val="03YTDDET"/>
      <sheetName val="02CM"/>
      <sheetName val="02CMDET"/>
      <sheetName val="02YTD"/>
      <sheetName val="02YTDDET"/>
      <sheetName val="01YTDDET"/>
      <sheetName val="01YTD"/>
    </sheetNames>
    <sheetDataSet>
      <sheetData sheetId="0"/>
      <sheetData sheetId="1"/>
      <sheetData sheetId="2">
        <row r="36">
          <cell r="J36">
            <v>30808.225</v>
          </cell>
          <cell r="K36">
            <v>12726.424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</row>
        <row r="43">
          <cell r="J43">
            <v>2590.159</v>
          </cell>
          <cell r="K43">
            <v>0</v>
          </cell>
          <cell r="L43">
            <v>30845.435</v>
          </cell>
          <cell r="M43">
            <v>4790.116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</row>
        <row r="46">
          <cell r="J46">
            <v>8.11</v>
          </cell>
          <cell r="K46">
            <v>-0.002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</row>
        <row r="62">
          <cell r="J62">
            <v>25580.784</v>
          </cell>
          <cell r="K62">
            <v>-250.401</v>
          </cell>
          <cell r="L62">
            <v>0</v>
          </cell>
          <cell r="M62">
            <v>450.937</v>
          </cell>
          <cell r="N62">
            <v>0</v>
          </cell>
          <cell r="O62">
            <v>0</v>
          </cell>
          <cell r="P62">
            <v>-4.857</v>
          </cell>
          <cell r="Q62">
            <v>272.911</v>
          </cell>
          <cell r="R62">
            <v>0</v>
          </cell>
          <cell r="S62">
            <v>0</v>
          </cell>
        </row>
        <row r="65">
          <cell r="J65">
            <v>103638.303</v>
          </cell>
          <cell r="K65">
            <v>40807.304</v>
          </cell>
          <cell r="L65">
            <v>30845.435</v>
          </cell>
          <cell r="M65">
            <v>2387.212</v>
          </cell>
          <cell r="N65">
            <v>-1.415</v>
          </cell>
          <cell r="O65">
            <v>452.49</v>
          </cell>
          <cell r="P65">
            <v>87.923</v>
          </cell>
          <cell r="Q65">
            <v>4534.151</v>
          </cell>
          <cell r="R65">
            <v>163.894</v>
          </cell>
          <cell r="S65">
            <v>-318.847</v>
          </cell>
        </row>
        <row r="72">
          <cell r="J72">
            <v>9618.408</v>
          </cell>
          <cell r="K72">
            <v>-81.7119999999999</v>
          </cell>
          <cell r="L72">
            <v>0</v>
          </cell>
          <cell r="M72">
            <v>-2341.254</v>
          </cell>
          <cell r="N72">
            <v>0</v>
          </cell>
          <cell r="O72">
            <v>-216.934</v>
          </cell>
          <cell r="P72">
            <v>0</v>
          </cell>
          <cell r="Q72">
            <v>-25312.084</v>
          </cell>
          <cell r="R72">
            <v>0</v>
          </cell>
          <cell r="S7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09YTD "/>
      <sheetName val="09YTDDET "/>
      <sheetName val="09CM "/>
      <sheetName val="09CMDET"/>
      <sheetName val="08YTD "/>
      <sheetName val="08YTDDET "/>
      <sheetName val="08CM "/>
      <sheetName val="08CMDET "/>
      <sheetName val="07YTD "/>
      <sheetName val="07YTDDET "/>
      <sheetName val="07CM "/>
      <sheetName val="07CMDET "/>
      <sheetName val="MAY+FLASH"/>
      <sheetName val="06YTD"/>
      <sheetName val="06YTDDET"/>
      <sheetName val="06CM"/>
      <sheetName val="06CMDET"/>
      <sheetName val="05CM "/>
      <sheetName val="05CMDET"/>
      <sheetName val="05YTD "/>
      <sheetName val="05YTDDET"/>
      <sheetName val="MarFlash"/>
      <sheetName val="04CM"/>
      <sheetName val="04CMDET"/>
      <sheetName val="04YTD"/>
      <sheetName val="04YTDDET"/>
      <sheetName val="03CM"/>
      <sheetName val="03CMDET"/>
      <sheetName val="03YTD"/>
      <sheetName val="03YTDDET"/>
      <sheetName val="02CM"/>
      <sheetName val="02CMDET"/>
      <sheetName val="02YTD"/>
      <sheetName val="02YTDDET"/>
      <sheetName val="01YTD"/>
      <sheetName val="01YTDDET"/>
    </sheetNames>
    <sheetDataSet>
      <sheetData sheetId="0">
        <row r="73">
          <cell r="N73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EPT_MO "/>
      <sheetName val="SEPT_YTD"/>
      <sheetName val="AUG_MO "/>
      <sheetName val="AUG_YTD "/>
      <sheetName val="JULY_MO "/>
      <sheetName val="JULY_YTD  "/>
      <sheetName val="JUNE_MO "/>
      <sheetName val="JUNE_YTD "/>
      <sheetName val="MAY_MO"/>
      <sheetName val="MAY_YTD"/>
      <sheetName val="APR_MO"/>
      <sheetName val="APR_YTD"/>
      <sheetName val="MAR_MO"/>
      <sheetName val="MAR_YTD"/>
      <sheetName val="FEB_YTD"/>
      <sheetName val="FEB_MO"/>
      <sheetName val="JAN_YT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07CM "/>
      <sheetName val="07CMDET "/>
      <sheetName val="07YTD "/>
      <sheetName val="07YTDDET "/>
      <sheetName val="06CM"/>
      <sheetName val="06CMDET"/>
      <sheetName val="06YTD"/>
      <sheetName val="06YTDDET"/>
      <sheetName val="May+Flash"/>
      <sheetName val="05CM "/>
      <sheetName val="05CMDET"/>
      <sheetName val="05YTD "/>
      <sheetName val="05YTDDET"/>
      <sheetName val="04CM"/>
      <sheetName val="04CMDET"/>
      <sheetName val="04YTD"/>
      <sheetName val="04YTDDET"/>
      <sheetName val="MarFlash"/>
      <sheetName val="03CM"/>
      <sheetName val="03CMDET"/>
      <sheetName val="03YTD"/>
      <sheetName val="03YTDDET"/>
      <sheetName val="02CM"/>
      <sheetName val="02CMDET"/>
      <sheetName val="02YTD"/>
      <sheetName val="02YTDDET"/>
      <sheetName val="01YTDDET"/>
      <sheetName val="01YTD"/>
    </sheetNames>
    <sheetDataSet>
      <sheetData sheetId="0"/>
      <sheetData sheetId="1"/>
      <sheetData sheetId="2">
        <row r="36">
          <cell r="J36">
            <v>26787.807</v>
          </cell>
          <cell r="K36">
            <v>11268.687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6"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43">
          <cell r="J43">
            <v>2203.165</v>
          </cell>
          <cell r="K43">
            <v>0</v>
          </cell>
          <cell r="L43">
            <v>18411.357</v>
          </cell>
          <cell r="M43">
            <v>4038.737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3"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6">
          <cell r="J46">
            <v>8.11</v>
          </cell>
          <cell r="K46">
            <v>-0.002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6"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62">
          <cell r="J62">
            <v>23660.897</v>
          </cell>
          <cell r="K62">
            <v>-445.06</v>
          </cell>
          <cell r="L62">
            <v>0</v>
          </cell>
          <cell r="M62">
            <v>432.984</v>
          </cell>
          <cell r="N62">
            <v>0</v>
          </cell>
          <cell r="O62">
            <v>0</v>
          </cell>
          <cell r="P62">
            <v>-4.25</v>
          </cell>
          <cell r="Q62">
            <v>0</v>
          </cell>
        </row>
        <row r="62">
          <cell r="T62">
            <v>0</v>
          </cell>
          <cell r="U62">
            <v>272.911</v>
          </cell>
          <cell r="V62">
            <v>0</v>
          </cell>
          <cell r="W62">
            <v>0</v>
          </cell>
        </row>
        <row r="65">
          <cell r="J65">
            <v>100281.353</v>
          </cell>
          <cell r="K65">
            <v>35416.795</v>
          </cell>
          <cell r="L65">
            <v>18411.357</v>
          </cell>
          <cell r="M65">
            <v>2024.508</v>
          </cell>
          <cell r="N65">
            <v>1.618</v>
          </cell>
          <cell r="O65">
            <v>660.751</v>
          </cell>
          <cell r="P65">
            <v>79.481</v>
          </cell>
          <cell r="Q65">
            <v>0</v>
          </cell>
        </row>
        <row r="65">
          <cell r="T65">
            <v>0</v>
          </cell>
          <cell r="U65">
            <v>1979.56</v>
          </cell>
          <cell r="V65">
            <v>-25.954</v>
          </cell>
          <cell r="W65">
            <v>-231.884</v>
          </cell>
        </row>
        <row r="72">
          <cell r="J72">
            <v>8416.242</v>
          </cell>
          <cell r="K72">
            <v>-207.146</v>
          </cell>
          <cell r="L72">
            <v>0</v>
          </cell>
          <cell r="M72">
            <v>-2048.597</v>
          </cell>
          <cell r="N72">
            <v>0</v>
          </cell>
          <cell r="O72">
            <v>-189.817</v>
          </cell>
          <cell r="P72">
            <v>0</v>
          </cell>
          <cell r="Q72">
            <v>0</v>
          </cell>
        </row>
        <row r="72">
          <cell r="T72">
            <v>0</v>
          </cell>
          <cell r="U72">
            <v>-22859.946</v>
          </cell>
          <cell r="V72">
            <v>0</v>
          </cell>
          <cell r="W7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06CM"/>
      <sheetName val="06CMDET"/>
      <sheetName val="06YTD"/>
      <sheetName val="06YTDDET"/>
      <sheetName val="May+Flash"/>
      <sheetName val="05CM "/>
      <sheetName val="05CMDET"/>
      <sheetName val="05YTD "/>
      <sheetName val="05YTDDET"/>
      <sheetName val="04CM"/>
      <sheetName val="04CMDET"/>
      <sheetName val="04YTD"/>
      <sheetName val="04YTDDET"/>
      <sheetName val="MarFlash"/>
      <sheetName val="03CM"/>
      <sheetName val="03CMDET"/>
      <sheetName val="03YTD"/>
      <sheetName val="03YTDDET"/>
      <sheetName val="02CM"/>
      <sheetName val="02CMDET"/>
      <sheetName val="02YTD"/>
      <sheetName val="02YTDDET"/>
      <sheetName val="01YTDDET"/>
      <sheetName val="01YTD"/>
    </sheetNames>
    <sheetDataSet>
      <sheetData sheetId="0"/>
      <sheetData sheetId="1"/>
      <sheetData sheetId="2">
        <row r="36">
          <cell r="J36">
            <v>22763.346</v>
          </cell>
          <cell r="K36">
            <v>9790.179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</row>
        <row r="36">
          <cell r="T36">
            <v>0</v>
          </cell>
          <cell r="U36">
            <v>0</v>
          </cell>
          <cell r="V36">
            <v>0</v>
          </cell>
        </row>
        <row r="43">
          <cell r="J43">
            <v>1917.5</v>
          </cell>
          <cell r="K43">
            <v>0</v>
          </cell>
          <cell r="L43">
            <v>15506.163</v>
          </cell>
          <cell r="M43">
            <v>3434.531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</row>
        <row r="43">
          <cell r="T43">
            <v>0</v>
          </cell>
          <cell r="U43">
            <v>0</v>
          </cell>
          <cell r="V43">
            <v>0</v>
          </cell>
        </row>
        <row r="46">
          <cell r="J46">
            <v>976.063</v>
          </cell>
          <cell r="K46">
            <v>-0.002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</row>
        <row r="46">
          <cell r="T46">
            <v>0</v>
          </cell>
          <cell r="U46">
            <v>0</v>
          </cell>
          <cell r="V46">
            <v>0</v>
          </cell>
        </row>
        <row r="62">
          <cell r="J62">
            <v>23962.484</v>
          </cell>
          <cell r="K62">
            <v>-601.001</v>
          </cell>
          <cell r="L62">
            <v>0</v>
          </cell>
          <cell r="M62">
            <v>402.553</v>
          </cell>
          <cell r="N62">
            <v>0</v>
          </cell>
          <cell r="O62">
            <v>0</v>
          </cell>
          <cell r="P62">
            <v>-3.643</v>
          </cell>
          <cell r="Q62">
            <v>806.987</v>
          </cell>
          <cell r="R62">
            <v>0</v>
          </cell>
        </row>
        <row r="62">
          <cell r="T62">
            <v>806.987</v>
          </cell>
          <cell r="U62">
            <v>272.911</v>
          </cell>
          <cell r="V62">
            <v>0</v>
          </cell>
        </row>
        <row r="65">
          <cell r="J65">
            <v>97960.639</v>
          </cell>
          <cell r="K65">
            <v>28028.404</v>
          </cell>
          <cell r="L65">
            <v>15506.163</v>
          </cell>
          <cell r="M65">
            <v>1735.477</v>
          </cell>
          <cell r="N65">
            <v>-0.298000000000001</v>
          </cell>
          <cell r="O65">
            <v>374.766</v>
          </cell>
          <cell r="P65">
            <v>86.8540000000001</v>
          </cell>
          <cell r="Q65">
            <v>-0.400999999999948</v>
          </cell>
          <cell r="R65">
            <v>0</v>
          </cell>
        </row>
        <row r="65">
          <cell r="T65">
            <v>-0.400999999999948</v>
          </cell>
          <cell r="U65">
            <v>1149.922</v>
          </cell>
          <cell r="V65">
            <v>-89.974</v>
          </cell>
        </row>
        <row r="72">
          <cell r="J72">
            <v>7257.713</v>
          </cell>
          <cell r="K72">
            <v>198.201</v>
          </cell>
          <cell r="L72">
            <v>0</v>
          </cell>
          <cell r="M72">
            <v>-1463.283</v>
          </cell>
          <cell r="N72">
            <v>0</v>
          </cell>
          <cell r="O72">
            <v>-219.41</v>
          </cell>
          <cell r="P72">
            <v>0</v>
          </cell>
          <cell r="Q72">
            <v>0</v>
          </cell>
          <cell r="R72">
            <v>0</v>
          </cell>
        </row>
        <row r="72">
          <cell r="T72">
            <v>0</v>
          </cell>
          <cell r="U72">
            <v>-18631.826</v>
          </cell>
          <cell r="V7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08YTD "/>
      <sheetName val="08YTDDET "/>
      <sheetName val="08CM "/>
      <sheetName val="08CMDET "/>
      <sheetName val="07YTD "/>
      <sheetName val="07YTDDET "/>
      <sheetName val="07CM "/>
      <sheetName val="07CMDET "/>
      <sheetName val="MAY+FLASH"/>
      <sheetName val="06YTD"/>
      <sheetName val="06YTDDET"/>
      <sheetName val="06CM"/>
      <sheetName val="06CMDET"/>
      <sheetName val="05CM "/>
      <sheetName val="05CMDET"/>
      <sheetName val="05YTD "/>
      <sheetName val="05YTDDET"/>
      <sheetName val="MarFlash"/>
      <sheetName val="04CM"/>
      <sheetName val="04CMDET"/>
      <sheetName val="04YTD"/>
      <sheetName val="04YTDDET"/>
      <sheetName val="03CM"/>
      <sheetName val="03CMDET"/>
      <sheetName val="03YTD"/>
      <sheetName val="03YTDDET"/>
      <sheetName val="02CM"/>
      <sheetName val="02CMDET"/>
      <sheetName val="02YTD"/>
      <sheetName val="02YTDDET"/>
      <sheetName val="01YTD"/>
      <sheetName val="01YTDDET"/>
      <sheetName val="09YTD "/>
    </sheetNames>
    <sheetDataSet>
      <sheetData sheetId="0">
        <row r="73">
          <cell r="N73">
            <v>10.512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28515625" defaultRowHeight="11.25" customHeight="true" zeroHeight="false" outlineLevelRow="0" outlineLevelCol="0"/>
  <sheetData>
    <row r="1" customFormat="false" ht="11.25" hidden="false" customHeight="false" outlineLevel="0" collapsed="false">
      <c r="A1" s="1" t="s">
        <v>0</v>
      </c>
    </row>
    <row r="3" customFormat="false" ht="11.25" hidden="false" customHeight="false" outlineLevel="0" collapsed="false">
      <c r="A3" s="1" t="s">
        <v>1</v>
      </c>
      <c r="C3" s="2"/>
    </row>
    <row r="5" customFormat="false" ht="11.25" hidden="false" customHeight="false" outlineLevel="0" collapsed="false">
      <c r="A5" s="3" t="s">
        <v>2</v>
      </c>
      <c r="C5" s="3" t="n">
        <v>-8227</v>
      </c>
    </row>
    <row r="6" customFormat="false" ht="11.25" hidden="false" customHeight="false" outlineLevel="0" collapsed="false">
      <c r="A6" s="3" t="s">
        <v>3</v>
      </c>
      <c r="C6" s="3" t="n">
        <v>1942</v>
      </c>
    </row>
    <row r="7" customFormat="false" ht="12" hidden="false" customHeight="false" outlineLevel="0" collapsed="false">
      <c r="A7" s="3" t="s">
        <v>4</v>
      </c>
      <c r="C7" s="4" t="n">
        <f aca="false">SUM(C5:C6)</f>
        <v>-6285</v>
      </c>
    </row>
    <row r="8" customFormat="false" ht="12" hidden="false" customHeight="false" outlineLevel="0" collapsed="false"/>
    <row r="9" customFormat="false" ht="11.25" hidden="false" customHeight="false" outlineLevel="0" collapsed="false">
      <c r="A9" s="1" t="s">
        <v>5</v>
      </c>
    </row>
    <row r="11" customFormat="false" ht="11.25" hidden="false" customHeight="false" outlineLevel="0" collapsed="false">
      <c r="A11" s="3" t="s">
        <v>6</v>
      </c>
      <c r="C11" s="3" t="n">
        <v>2000</v>
      </c>
    </row>
    <row r="12" customFormat="false" ht="11.25" hidden="false" customHeight="false" outlineLevel="0" collapsed="false">
      <c r="A12" s="3" t="s">
        <v>7</v>
      </c>
      <c r="C12" s="3" t="n">
        <v>3100</v>
      </c>
    </row>
    <row r="13" customFormat="false" ht="11.25" hidden="false" customHeight="false" outlineLevel="0" collapsed="false">
      <c r="A13" s="3" t="s">
        <v>8</v>
      </c>
      <c r="C13" s="3" t="n">
        <v>6300</v>
      </c>
    </row>
    <row r="14" customFormat="false" ht="11.25" hidden="false" customHeight="false" outlineLevel="0" collapsed="false">
      <c r="A14" s="3" t="s">
        <v>9</v>
      </c>
      <c r="C14" s="3" t="n">
        <f aca="false">SUM(C11:C13)-C15</f>
        <v>-938</v>
      </c>
    </row>
    <row r="15" customFormat="false" ht="12" hidden="false" customHeight="false" outlineLevel="0" collapsed="false">
      <c r="A15" s="3" t="s">
        <v>10</v>
      </c>
      <c r="C15" s="4" t="n">
        <v>12338</v>
      </c>
    </row>
    <row r="16" customFormat="false" ht="12" hidden="false" customHeight="false" outlineLevel="0" collapsed="false"/>
    <row r="17" customFormat="false" ht="11.25" hidden="false" customHeight="false" outlineLevel="0" collapsed="false">
      <c r="A17" s="1" t="s">
        <v>11</v>
      </c>
    </row>
    <row r="19" customFormat="false" ht="11.25" hidden="false" customHeight="false" outlineLevel="0" collapsed="false">
      <c r="A19" s="3" t="s">
        <v>12</v>
      </c>
      <c r="C19" s="3" t="n">
        <v>-29350</v>
      </c>
    </row>
    <row r="20" customFormat="false" ht="11.25" hidden="false" customHeight="false" outlineLevel="0" collapsed="false">
      <c r="A20" s="3" t="s">
        <v>13</v>
      </c>
      <c r="C20" s="3" t="n">
        <f aca="false">C21-C19</f>
        <v>-7592</v>
      </c>
    </row>
    <row r="21" customFormat="false" ht="12" hidden="false" customHeight="false" outlineLevel="0" collapsed="false">
      <c r="A21" s="3" t="s">
        <v>14</v>
      </c>
      <c r="C21" s="4" t="n">
        <v>-36942</v>
      </c>
    </row>
    <row r="22" customFormat="false" ht="12" hidden="false" customHeight="false" outlineLevel="0" collapsed="false"/>
    <row r="23" customFormat="false" ht="11.25" hidden="false" customHeight="false" outlineLevel="0" collapsed="false">
      <c r="A23" s="3" t="s">
        <v>15</v>
      </c>
      <c r="C23" s="3" t="n">
        <v>17513</v>
      </c>
    </row>
    <row r="24" customFormat="false" ht="11.25" hidden="false" customHeight="false" outlineLevel="0" collapsed="false">
      <c r="A24" s="3" t="s">
        <v>16</v>
      </c>
      <c r="C24" s="3" t="n">
        <v>4929</v>
      </c>
    </row>
    <row r="25" customFormat="false" ht="11.25" hidden="false" customHeight="false" outlineLevel="0" collapsed="false">
      <c r="A25" s="3" t="s">
        <v>9</v>
      </c>
      <c r="C25" s="3" t="n">
        <f aca="false">-SUM(C23:C24)+C26</f>
        <v>1500</v>
      </c>
    </row>
    <row r="26" customFormat="false" ht="12" hidden="false" customHeight="false" outlineLevel="0" collapsed="false">
      <c r="A26" s="3" t="s">
        <v>17</v>
      </c>
      <c r="C26" s="4" t="n">
        <v>23942</v>
      </c>
    </row>
    <row r="27" customFormat="false" ht="12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78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P4" activeCellId="0" sqref="P4:P5"/>
    </sheetView>
  </sheetViews>
  <sheetFormatPr defaultColWidth="8.9921875" defaultRowHeight="12.75" customHeight="true" zeroHeight="false" outlineLevelRow="4" outlineLevelCol="0"/>
  <cols>
    <col collapsed="false" customWidth="true" hidden="false" outlineLevel="0" max="1" min="1" style="40" width="60.5"/>
    <col collapsed="false" customWidth="true" hidden="false" outlineLevel="0" max="2" min="2" style="40" width="14.49"/>
    <col collapsed="false" customWidth="true" hidden="false" outlineLevel="0" max="3" min="3" style="40" width="1.82"/>
    <col collapsed="false" customWidth="true" hidden="false" outlineLevel="0" max="4" min="4" style="40" width="11.82"/>
    <col collapsed="false" customWidth="true" hidden="false" outlineLevel="0" max="5" min="5" style="40" width="10.65"/>
    <col collapsed="false" customWidth="true" hidden="false" outlineLevel="0" max="6" min="6" style="40" width="10.82"/>
    <col collapsed="false" customWidth="true" hidden="false" outlineLevel="0" max="7" min="7" style="40" width="12.82"/>
    <col collapsed="false" customWidth="true" hidden="false" outlineLevel="0" max="10" min="8" style="40" width="10.82"/>
    <col collapsed="false" customWidth="true" hidden="false" outlineLevel="0" max="11" min="11" style="40" width="10.49"/>
    <col collapsed="false" customWidth="true" hidden="true" outlineLevel="0" max="12" min="12" style="40" width="12.49"/>
    <col collapsed="false" customWidth="true" hidden="true" outlineLevel="0" max="13" min="13" style="40" width="9.99"/>
    <col collapsed="false" customWidth="true" hidden="false" outlineLevel="0" max="14" min="14" style="40" width="9.99"/>
    <col collapsed="false" customWidth="true" hidden="false" outlineLevel="0" max="16" min="15" style="40" width="12.16"/>
    <col collapsed="false" customWidth="true" hidden="false" outlineLevel="0" max="17" min="17" style="40" width="10.82"/>
    <col collapsed="false" customWidth="true" hidden="false" outlineLevel="0" max="18" min="18" style="40" width="3.65"/>
    <col collapsed="false" customWidth="true" hidden="false" outlineLevel="0" max="19" min="19" style="40" width="10.65"/>
    <col collapsed="false" customWidth="false" hidden="false" outlineLevel="0" max="257" min="20" style="40" width="8.99"/>
  </cols>
  <sheetData>
    <row r="1" customFormat="false" ht="12.75" hidden="false" customHeight="true" outlineLevel="0" collapsed="false">
      <c r="A1" s="41" t="s">
        <v>18</v>
      </c>
      <c r="B1" s="42"/>
      <c r="C1" s="42"/>
      <c r="D1" s="42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customFormat="false" ht="12.75" hidden="false" customHeight="true" outlineLevel="0" collapsed="false">
      <c r="A2" s="44" t="s">
        <v>19</v>
      </c>
      <c r="D2" s="45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customFormat="false" ht="12.75" hidden="false" customHeight="true" outlineLevel="0" collapsed="false">
      <c r="A3" s="47" t="s">
        <v>114</v>
      </c>
      <c r="B3" s="42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</row>
    <row r="4" customFormat="false" ht="12.75" hidden="false" customHeight="true" outlineLevel="0" collapsed="false">
      <c r="A4" s="42"/>
      <c r="B4" s="49" t="s">
        <v>97</v>
      </c>
      <c r="C4" s="50"/>
      <c r="D4" s="51"/>
      <c r="I4" s="52" t="s">
        <v>98</v>
      </c>
      <c r="J4" s="52" t="s">
        <v>28</v>
      </c>
      <c r="K4" s="52" t="s">
        <v>29</v>
      </c>
      <c r="L4" s="52" t="s">
        <v>30</v>
      </c>
      <c r="M4" s="52" t="s">
        <v>31</v>
      </c>
      <c r="N4" s="52" t="s">
        <v>30</v>
      </c>
      <c r="O4" s="52" t="s">
        <v>32</v>
      </c>
      <c r="P4" s="52" t="s">
        <v>99</v>
      </c>
      <c r="S4" s="53" t="s">
        <v>21</v>
      </c>
    </row>
    <row r="5" customFormat="false" ht="12.75" hidden="false" customHeight="true" outlineLevel="0" collapsed="false">
      <c r="A5" s="54" t="s">
        <v>34</v>
      </c>
      <c r="B5" s="55" t="s">
        <v>100</v>
      </c>
      <c r="C5" s="52"/>
      <c r="D5" s="51" t="s">
        <v>35</v>
      </c>
      <c r="E5" s="51" t="s">
        <v>22</v>
      </c>
      <c r="F5" s="51" t="s">
        <v>23</v>
      </c>
      <c r="G5" s="51" t="s">
        <v>24</v>
      </c>
      <c r="H5" s="51" t="s">
        <v>25</v>
      </c>
      <c r="I5" s="51" t="n">
        <v>543</v>
      </c>
      <c r="J5" s="51" t="n">
        <v>584</v>
      </c>
      <c r="K5" s="51" t="n">
        <v>583</v>
      </c>
      <c r="L5" s="51" t="s">
        <v>36</v>
      </c>
      <c r="M5" s="51"/>
      <c r="N5" s="51" t="s">
        <v>37</v>
      </c>
      <c r="O5" s="51" t="s">
        <v>38</v>
      </c>
      <c r="P5" s="51" t="s">
        <v>101</v>
      </c>
      <c r="Q5" s="51" t="s">
        <v>33</v>
      </c>
      <c r="S5" s="56" t="s">
        <v>102</v>
      </c>
    </row>
    <row r="6" customFormat="false" ht="12.75" hidden="false" customHeight="true" outlineLevel="2" collapsed="false">
      <c r="A6" s="57"/>
      <c r="B6" s="58"/>
      <c r="C6" s="58"/>
      <c r="D6" s="59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</row>
    <row r="7" customFormat="false" ht="12.75" hidden="false" customHeight="true" outlineLevel="4" collapsed="false">
      <c r="A7" s="61" t="s">
        <v>39</v>
      </c>
      <c r="B7" s="58"/>
      <c r="C7" s="58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</row>
    <row r="8" customFormat="false" ht="12.75" hidden="false" customHeight="true" outlineLevel="4" collapsed="false">
      <c r="A8" s="57" t="s">
        <v>40</v>
      </c>
      <c r="B8" s="58" t="n">
        <f aca="false">D8+S8</f>
        <v>142463.934</v>
      </c>
      <c r="C8" s="58"/>
      <c r="D8" s="62" t="n">
        <f aca="false">SUM(E8:M8)+O8+Q8</f>
        <v>144751.552</v>
      </c>
      <c r="E8" s="62" t="n">
        <f aca="false">+[8]06YTD!J65</f>
        <v>97960.639</v>
      </c>
      <c r="F8" s="62" t="n">
        <f aca="false">+[8]06YTD!K65</f>
        <v>28028.404</v>
      </c>
      <c r="G8" s="62" t="n">
        <f aca="false">+[8]06YTD!L65</f>
        <v>15506.163</v>
      </c>
      <c r="H8" s="62" t="n">
        <f aca="false">+[8]06YTD!M65</f>
        <v>1735.477</v>
      </c>
      <c r="I8" s="62" t="n">
        <f aca="false">+[8]06YTD!N65</f>
        <v>-0.298000000000001</v>
      </c>
      <c r="J8" s="62" t="n">
        <f aca="false">+[8]06YTD!O65</f>
        <v>374.766</v>
      </c>
      <c r="K8" s="62" t="n">
        <f aca="false">+[8]06YTD!P65</f>
        <v>86.8540000000001</v>
      </c>
      <c r="L8" s="62" t="n">
        <f aca="false">+[8]06YTD!Q65</f>
        <v>-0.400999999999948</v>
      </c>
      <c r="M8" s="62" t="n">
        <f aca="false">+[8]06YTD!R65</f>
        <v>0</v>
      </c>
      <c r="N8" s="62" t="n">
        <f aca="false">+[8]06YTD!T65</f>
        <v>-0.400999999999948</v>
      </c>
      <c r="O8" s="62" t="n">
        <f aca="false">+[8]06YTD!U65</f>
        <v>1149.922</v>
      </c>
      <c r="P8" s="62"/>
      <c r="Q8" s="62" t="n">
        <f aca="false">+[8]06YTD!V65</f>
        <v>-89.974</v>
      </c>
      <c r="S8" s="62" t="n">
        <f aca="false">+'[11]JUNE_YTD '!$H$8</f>
        <v>-2287.618</v>
      </c>
    </row>
    <row r="9" customFormat="false" ht="12.75" hidden="false" customHeight="true" outlineLevel="4" collapsed="false">
      <c r="A9" s="57" t="s">
        <v>41</v>
      </c>
      <c r="B9" s="63" t="n">
        <f aca="false">D9+S9</f>
        <v>12858.605</v>
      </c>
      <c r="C9" s="58"/>
      <c r="D9" s="64" t="n">
        <f aca="false">SUM(E9:M9)+O9+Q9</f>
        <v>12858.605</v>
      </c>
      <c r="E9" s="64" t="n">
        <f aca="false">-[8]06YTD!J72</f>
        <v>-7257.713</v>
      </c>
      <c r="F9" s="64" t="n">
        <f aca="false">-[8]06YTD!K72</f>
        <v>-198.201</v>
      </c>
      <c r="G9" s="64" t="n">
        <f aca="false">-[8]06YTD!L72</f>
        <v>-0</v>
      </c>
      <c r="H9" s="64" t="n">
        <f aca="false">-[8]06YTD!M72</f>
        <v>1463.283</v>
      </c>
      <c r="I9" s="64" t="n">
        <f aca="false">-[8]06YTD!N72</f>
        <v>-0</v>
      </c>
      <c r="J9" s="64" t="n">
        <f aca="false">-[8]06YTD!O72</f>
        <v>219.41</v>
      </c>
      <c r="K9" s="64" t="n">
        <f aca="false">-[8]06YTD!P72</f>
        <v>-0</v>
      </c>
      <c r="L9" s="64" t="n">
        <f aca="false">-[8]06YTD!Q72</f>
        <v>-0</v>
      </c>
      <c r="M9" s="64" t="n">
        <f aca="false">-[8]06YTD!R72</f>
        <v>-0</v>
      </c>
      <c r="N9" s="64" t="n">
        <f aca="false">-[8]06YTD!T72</f>
        <v>-0</v>
      </c>
      <c r="O9" s="64" t="n">
        <f aca="false">-[8]06YTD!U72</f>
        <v>18631.826</v>
      </c>
      <c r="P9" s="64"/>
      <c r="Q9" s="64" t="n">
        <f aca="false">-[8]06YTD!V72</f>
        <v>-0</v>
      </c>
      <c r="S9" s="64" t="n">
        <f aca="false">-'[11]JUNE_YTD '!$H$48</f>
        <v>-0</v>
      </c>
    </row>
    <row r="10" customFormat="false" ht="12.75" hidden="false" customHeight="true" outlineLevel="4" collapsed="false">
      <c r="A10" s="57" t="s">
        <v>42</v>
      </c>
      <c r="B10" s="65" t="n">
        <f aca="false">B8+B9</f>
        <v>155322.539</v>
      </c>
      <c r="C10" s="58"/>
      <c r="D10" s="65" t="n">
        <f aca="false">D8+D9</f>
        <v>157610.157</v>
      </c>
      <c r="E10" s="65" t="n">
        <f aca="false">E8+E9</f>
        <v>90702.926</v>
      </c>
      <c r="F10" s="65" t="n">
        <f aca="false">F8+F9</f>
        <v>27830.203</v>
      </c>
      <c r="G10" s="65" t="n">
        <f aca="false">G8+G9</f>
        <v>15506.163</v>
      </c>
      <c r="H10" s="65" t="n">
        <f aca="false">H8+H9</f>
        <v>3198.76</v>
      </c>
      <c r="I10" s="65" t="n">
        <f aca="false">I8+I9</f>
        <v>-0.298000000000001</v>
      </c>
      <c r="J10" s="65" t="n">
        <f aca="false">J8+J9</f>
        <v>594.176</v>
      </c>
      <c r="K10" s="65" t="n">
        <f aca="false">K8+K9</f>
        <v>86.8540000000001</v>
      </c>
      <c r="L10" s="65" t="n">
        <f aca="false">L8+L9</f>
        <v>-0.400999999999948</v>
      </c>
      <c r="M10" s="65" t="n">
        <f aca="false">M8+M9</f>
        <v>0</v>
      </c>
      <c r="N10" s="65" t="n">
        <f aca="false">N8+N9</f>
        <v>-0.400999999999948</v>
      </c>
      <c r="O10" s="65" t="n">
        <f aca="false">O8+O9</f>
        <v>19781.748</v>
      </c>
      <c r="P10" s="65"/>
      <c r="Q10" s="65" t="n">
        <f aca="false">Q8+Q9</f>
        <v>-89.974</v>
      </c>
      <c r="S10" s="65" t="n">
        <f aca="false">S8+S9</f>
        <v>-2287.618</v>
      </c>
    </row>
    <row r="11" customFormat="false" ht="12.75" hidden="false" customHeight="true" outlineLevel="4" collapsed="false">
      <c r="A11" s="57"/>
      <c r="B11" s="65"/>
      <c r="C11" s="58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S11" s="65"/>
    </row>
    <row r="12" customFormat="false" ht="12.75" hidden="false" customHeight="true" outlineLevel="4" collapsed="false">
      <c r="A12" s="57" t="s">
        <v>43</v>
      </c>
      <c r="B12" s="58" t="n">
        <f aca="false">D12+S12</f>
        <v>32553.525</v>
      </c>
      <c r="C12" s="58"/>
      <c r="D12" s="62" t="n">
        <f aca="false">SUM(E12:M12)+O12+Q12</f>
        <v>32553.525</v>
      </c>
      <c r="E12" s="62" t="n">
        <f aca="false">+[8]06YTD!J36</f>
        <v>22763.346</v>
      </c>
      <c r="F12" s="62" t="n">
        <f aca="false">+[8]06YTD!K36</f>
        <v>9790.179</v>
      </c>
      <c r="G12" s="62" t="n">
        <f aca="false">+[8]06YTD!L36</f>
        <v>0</v>
      </c>
      <c r="H12" s="62" t="n">
        <f aca="false">+[8]06YTD!M36</f>
        <v>0</v>
      </c>
      <c r="I12" s="62" t="n">
        <f aca="false">+[8]06YTD!N36</f>
        <v>0</v>
      </c>
      <c r="J12" s="62" t="n">
        <f aca="false">+[8]06YTD!O36</f>
        <v>0</v>
      </c>
      <c r="K12" s="62" t="n">
        <f aca="false">+[8]06YTD!P36</f>
        <v>0</v>
      </c>
      <c r="L12" s="62" t="n">
        <f aca="false">+[8]06YTD!Q36</f>
        <v>0</v>
      </c>
      <c r="M12" s="62" t="n">
        <f aca="false">+[8]06YTD!R36</f>
        <v>0</v>
      </c>
      <c r="N12" s="62" t="n">
        <f aca="false">+[8]06YTD!T36</f>
        <v>0</v>
      </c>
      <c r="O12" s="62" t="n">
        <f aca="false">+[8]06YTD!U36</f>
        <v>0</v>
      </c>
      <c r="P12" s="62"/>
      <c r="Q12" s="62" t="n">
        <f aca="false">+[8]06YTD!V36</f>
        <v>0</v>
      </c>
      <c r="S12" s="62" t="n">
        <f aca="false">+'[11]JUNE_YTD '!$H$11</f>
        <v>0</v>
      </c>
    </row>
    <row r="13" customFormat="false" ht="12.75" hidden="false" customHeight="true" outlineLevel="4" collapsed="false">
      <c r="A13" s="57" t="s">
        <v>45</v>
      </c>
      <c r="B13" s="58" t="n">
        <f aca="false">D13+S13</f>
        <v>24870.669</v>
      </c>
      <c r="C13" s="58"/>
      <c r="D13" s="62" t="n">
        <f aca="false">SUM(E13:M13)+O13+Q13</f>
        <v>24840.291</v>
      </c>
      <c r="E13" s="62" t="n">
        <f aca="false">+[8]06YTD!J62</f>
        <v>23962.484</v>
      </c>
      <c r="F13" s="62" t="n">
        <f aca="false">+[8]06YTD!K62</f>
        <v>-601.001</v>
      </c>
      <c r="G13" s="62" t="n">
        <f aca="false">+[8]06YTD!L62</f>
        <v>0</v>
      </c>
      <c r="H13" s="62" t="n">
        <f aca="false">+[8]06YTD!M62</f>
        <v>402.553</v>
      </c>
      <c r="I13" s="62" t="n">
        <f aca="false">+[8]06YTD!N62</f>
        <v>0</v>
      </c>
      <c r="J13" s="62" t="n">
        <f aca="false">+[8]06YTD!O62</f>
        <v>0</v>
      </c>
      <c r="K13" s="62" t="n">
        <f aca="false">+[8]06YTD!P62</f>
        <v>-3.643</v>
      </c>
      <c r="L13" s="62" t="n">
        <f aca="false">+[8]06YTD!Q62</f>
        <v>806.987</v>
      </c>
      <c r="M13" s="62" t="n">
        <f aca="false">+[8]06YTD!R62</f>
        <v>0</v>
      </c>
      <c r="N13" s="62" t="n">
        <f aca="false">+[8]06YTD!T62</f>
        <v>806.987</v>
      </c>
      <c r="O13" s="62" t="n">
        <f aca="false">+[8]06YTD!U62</f>
        <v>272.911</v>
      </c>
      <c r="P13" s="62"/>
      <c r="Q13" s="62" t="n">
        <f aca="false">+[8]06YTD!V62</f>
        <v>0</v>
      </c>
      <c r="S13" s="62" t="n">
        <f aca="false">+'[11]JUNE_YTD '!$H$12</f>
        <v>30.378</v>
      </c>
    </row>
    <row r="14" customFormat="false" ht="12.75" hidden="false" customHeight="true" outlineLevel="4" collapsed="false">
      <c r="A14" s="57" t="s">
        <v>47</v>
      </c>
      <c r="B14" s="58" t="n">
        <f aca="false">D14+S14</f>
        <v>-976.061</v>
      </c>
      <c r="C14" s="58"/>
      <c r="D14" s="62" t="n">
        <f aca="false">SUM(E14:M14)+O14+Q14</f>
        <v>-976.061</v>
      </c>
      <c r="E14" s="62" t="n">
        <f aca="false">-[8]06YTD!J46</f>
        <v>-976.063</v>
      </c>
      <c r="F14" s="62" t="n">
        <f aca="false">-[8]06YTD!K46</f>
        <v>0.002</v>
      </c>
      <c r="G14" s="62" t="n">
        <f aca="false">-[8]06YTD!L46</f>
        <v>-0</v>
      </c>
      <c r="H14" s="62" t="n">
        <f aca="false">-[8]06YTD!M46</f>
        <v>-0</v>
      </c>
      <c r="I14" s="62" t="n">
        <f aca="false">-[8]06YTD!N46</f>
        <v>-0</v>
      </c>
      <c r="J14" s="62" t="n">
        <f aca="false">-[8]06YTD!O46</f>
        <v>-0</v>
      </c>
      <c r="K14" s="62" t="n">
        <f aca="false">-[8]06YTD!P46</f>
        <v>-0</v>
      </c>
      <c r="L14" s="62" t="n">
        <f aca="false">-[8]06YTD!Q46</f>
        <v>-0</v>
      </c>
      <c r="M14" s="62" t="n">
        <f aca="false">-[8]06YTD!R46</f>
        <v>-0</v>
      </c>
      <c r="N14" s="62" t="n">
        <f aca="false">-[8]06YTD!T46</f>
        <v>-0</v>
      </c>
      <c r="O14" s="62" t="n">
        <f aca="false">-[8]06YTD!U46</f>
        <v>-0</v>
      </c>
      <c r="P14" s="62"/>
      <c r="Q14" s="62" t="n">
        <f aca="false">-[8]06YTD!V46</f>
        <v>-0</v>
      </c>
      <c r="S14" s="62" t="n">
        <f aca="false">-'[11]JUNE_YTD '!$H$14</f>
        <v>-0</v>
      </c>
    </row>
    <row r="15" customFormat="false" ht="12.75" hidden="false" customHeight="true" outlineLevel="4" collapsed="false">
      <c r="A15" s="57" t="s">
        <v>48</v>
      </c>
      <c r="B15" s="58" t="n">
        <f aca="false">D15+S15</f>
        <v>0</v>
      </c>
      <c r="C15" s="58"/>
      <c r="D15" s="62" t="n">
        <f aca="false">SUM(E15:M15)+O15+Q15</f>
        <v>0</v>
      </c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S15" s="62"/>
    </row>
    <row r="16" customFormat="false" ht="12.75" hidden="false" customHeight="true" outlineLevel="4" collapsed="false">
      <c r="A16" s="57" t="s">
        <v>51</v>
      </c>
      <c r="B16" s="58" t="n">
        <f aca="false">D16+S16</f>
        <v>-16930.224</v>
      </c>
      <c r="C16" s="58"/>
      <c r="D16" s="62" t="n">
        <f aca="false">SUM(E16:M16)+O16+Q16</f>
        <v>-20858.194</v>
      </c>
      <c r="E16" s="62" t="n">
        <f aca="false">-[8]06YTD!J43</f>
        <v>-1917.5</v>
      </c>
      <c r="F16" s="62" t="n">
        <f aca="false">-[8]06YTD!K43</f>
        <v>-0</v>
      </c>
      <c r="G16" s="62" t="n">
        <f aca="false">-[8]06YTD!L43</f>
        <v>-15506.163</v>
      </c>
      <c r="H16" s="62" t="n">
        <f aca="false">-[8]06YTD!M43</f>
        <v>-3434.531</v>
      </c>
      <c r="I16" s="62" t="n">
        <f aca="false">-[8]06YTD!N43</f>
        <v>-0</v>
      </c>
      <c r="J16" s="62" t="n">
        <f aca="false">-[8]06YTD!O43</f>
        <v>-0</v>
      </c>
      <c r="K16" s="62" t="n">
        <f aca="false">-[8]06YTD!P43</f>
        <v>-0</v>
      </c>
      <c r="L16" s="62" t="n">
        <f aca="false">-[8]06YTD!Q43</f>
        <v>-0</v>
      </c>
      <c r="M16" s="62" t="n">
        <f aca="false">-[8]06YTD!R43</f>
        <v>-0</v>
      </c>
      <c r="N16" s="62" t="n">
        <f aca="false">-[8]06YTD!T43</f>
        <v>-0</v>
      </c>
      <c r="O16" s="62" t="n">
        <f aca="false">-[8]06YTD!U43</f>
        <v>-0</v>
      </c>
      <c r="P16" s="62"/>
      <c r="Q16" s="62" t="n">
        <f aca="false">-[8]06YTD!V43</f>
        <v>-0</v>
      </c>
      <c r="S16" s="62" t="n">
        <f aca="false">'[11]JUNE_YTD '!$H$15</f>
        <v>3927.97</v>
      </c>
    </row>
    <row r="17" customFormat="false" ht="12.75" hidden="false" customHeight="true" outlineLevel="4" collapsed="false">
      <c r="A17" s="57" t="s">
        <v>52</v>
      </c>
      <c r="B17" s="58" t="n">
        <f aca="false">D17+S17</f>
        <v>6666</v>
      </c>
      <c r="C17" s="58"/>
      <c r="D17" s="62" t="n">
        <f aca="false">SUM(E17:M17)+O17+Q17</f>
        <v>3266</v>
      </c>
      <c r="E17" s="75" t="n">
        <v>1634</v>
      </c>
      <c r="F17" s="75"/>
      <c r="G17" s="75"/>
      <c r="H17" s="75" t="n">
        <v>1632</v>
      </c>
      <c r="I17" s="75"/>
      <c r="J17" s="75"/>
      <c r="K17" s="75"/>
      <c r="L17" s="75"/>
      <c r="M17" s="75"/>
      <c r="N17" s="62" t="n">
        <f aca="false">M17+L17</f>
        <v>0</v>
      </c>
      <c r="O17" s="75"/>
      <c r="P17" s="75"/>
      <c r="Q17" s="75"/>
      <c r="S17" s="62" t="n">
        <f aca="false">+'[11]JUNE_YTD '!$H$16</f>
        <v>3400</v>
      </c>
    </row>
    <row r="18" customFormat="false" ht="12.75" hidden="false" customHeight="true" outlineLevel="4" collapsed="false">
      <c r="A18" s="57" t="s">
        <v>53</v>
      </c>
      <c r="B18" s="63" t="n">
        <f aca="false">D18+S18</f>
        <v>-4873</v>
      </c>
      <c r="C18" s="58"/>
      <c r="D18" s="62" t="n">
        <f aca="false">SUM(E18:M18)+O18+Q18</f>
        <v>-5035</v>
      </c>
      <c r="E18" s="64" t="n">
        <f aca="false">-6539-13095-14700</f>
        <v>-34334</v>
      </c>
      <c r="F18" s="64" t="n">
        <f aca="false">645+2783+1152</f>
        <v>4580</v>
      </c>
      <c r="G18" s="64" t="n">
        <v>0</v>
      </c>
      <c r="H18" s="64"/>
      <c r="I18" s="64" t="n">
        <v>1</v>
      </c>
      <c r="J18" s="64" t="n">
        <v>-35</v>
      </c>
      <c r="K18" s="64" t="n">
        <v>0</v>
      </c>
      <c r="L18" s="64" t="n">
        <v>21213</v>
      </c>
      <c r="M18" s="64"/>
      <c r="N18" s="62" t="n">
        <f aca="false">M18+L18</f>
        <v>21213</v>
      </c>
      <c r="O18" s="64" t="n">
        <v>3756</v>
      </c>
      <c r="P18" s="64"/>
      <c r="Q18" s="64" t="n">
        <v>-216</v>
      </c>
      <c r="S18" s="62" t="n">
        <f aca="false">+'[11]JUNE_YTD '!$H$17</f>
        <v>162</v>
      </c>
    </row>
    <row r="19" customFormat="false" ht="12.75" hidden="false" customHeight="true" outlineLevel="4" collapsed="false">
      <c r="A19" s="57" t="s">
        <v>54</v>
      </c>
      <c r="B19" s="66" t="n">
        <f aca="false">SUM(B10:B18)</f>
        <v>196633.448</v>
      </c>
      <c r="C19" s="58"/>
      <c r="D19" s="66" t="n">
        <f aca="false">SUM(D10:D18)</f>
        <v>191400.718</v>
      </c>
      <c r="E19" s="66" t="n">
        <f aca="false">SUM(E10:E18)</f>
        <v>101835.193</v>
      </c>
      <c r="F19" s="66" t="n">
        <f aca="false">SUM(F10:F18)</f>
        <v>41599.383</v>
      </c>
      <c r="G19" s="66" t="n">
        <f aca="false">SUM(G10:G18)</f>
        <v>0</v>
      </c>
      <c r="H19" s="66" t="n">
        <f aca="false">SUM(H10:H18)</f>
        <v>1798.782</v>
      </c>
      <c r="I19" s="66" t="n">
        <f aca="false">SUM(I10:I18)</f>
        <v>0.701999999999999</v>
      </c>
      <c r="J19" s="66" t="n">
        <f aca="false">SUM(J10:J18)</f>
        <v>559.176</v>
      </c>
      <c r="K19" s="66" t="n">
        <f aca="false">SUM(K10:K18)</f>
        <v>83.2110000000001</v>
      </c>
      <c r="L19" s="66" t="n">
        <f aca="false">SUM(L10:L18)</f>
        <v>22019.586</v>
      </c>
      <c r="M19" s="66" t="n">
        <f aca="false">SUM(M10:M18)</f>
        <v>0</v>
      </c>
      <c r="N19" s="66" t="n">
        <f aca="false">SUM(N10:N18)</f>
        <v>22019.586</v>
      </c>
      <c r="O19" s="66" t="n">
        <f aca="false">SUM(O10:O18)</f>
        <v>23810.659</v>
      </c>
      <c r="P19" s="66"/>
      <c r="Q19" s="66" t="n">
        <f aca="false">SUM(Q10:Q18)</f>
        <v>-305.974</v>
      </c>
      <c r="S19" s="66" t="n">
        <f aca="false">SUM(S10:S18)</f>
        <v>5232.73</v>
      </c>
    </row>
    <row r="20" customFormat="false" ht="12.75" hidden="false" customHeight="true" outlineLevel="4" collapsed="false">
      <c r="A20" s="57"/>
      <c r="B20" s="42"/>
      <c r="C20" s="58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S20" s="42"/>
    </row>
    <row r="21" customFormat="false" ht="12.75" hidden="false" customHeight="true" outlineLevel="4" collapsed="false">
      <c r="A21" s="57" t="s">
        <v>103</v>
      </c>
      <c r="B21" s="58"/>
      <c r="C21" s="58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S21" s="42"/>
    </row>
    <row r="22" customFormat="false" ht="12.75" hidden="false" customHeight="true" outlineLevel="4" collapsed="false">
      <c r="A22" s="57" t="s">
        <v>56</v>
      </c>
      <c r="B22" s="58" t="n">
        <f aca="false">D22+S22</f>
        <v>-22112</v>
      </c>
      <c r="C22" s="58"/>
      <c r="D22" s="62" t="n">
        <f aca="false">SUM(E22:M22)+O22+Q22</f>
        <v>-24778</v>
      </c>
      <c r="E22" s="62" t="n">
        <v>-23682</v>
      </c>
      <c r="F22" s="62" t="n">
        <v>-1144</v>
      </c>
      <c r="G22" s="62"/>
      <c r="H22" s="62" t="n">
        <v>-174</v>
      </c>
      <c r="I22" s="62" t="n">
        <v>13</v>
      </c>
      <c r="J22" s="62" t="n">
        <v>-1273</v>
      </c>
      <c r="K22" s="62" t="n">
        <v>274</v>
      </c>
      <c r="L22" s="62" t="n">
        <v>26</v>
      </c>
      <c r="M22" s="62"/>
      <c r="N22" s="62" t="n">
        <f aca="false">M22+L22</f>
        <v>26</v>
      </c>
      <c r="O22" s="62" t="n">
        <v>1280</v>
      </c>
      <c r="P22" s="62"/>
      <c r="Q22" s="62" t="n">
        <v>-98</v>
      </c>
      <c r="S22" s="62" t="n">
        <f aca="false">+'[11]JUNE_YTD '!$H$20</f>
        <v>2666</v>
      </c>
    </row>
    <row r="23" customFormat="false" ht="12.75" hidden="false" customHeight="true" outlineLevel="4" collapsed="false">
      <c r="A23" s="57" t="s">
        <v>58</v>
      </c>
      <c r="B23" s="58" t="n">
        <f aca="false">D23+S23</f>
        <v>-9499</v>
      </c>
      <c r="C23" s="58"/>
      <c r="D23" s="62" t="n">
        <f aca="false">SUM(E23:M23)+O23+Q23</f>
        <v>-9499</v>
      </c>
      <c r="E23" s="62" t="n">
        <v>-3436</v>
      </c>
      <c r="F23" s="62" t="n">
        <v>-3813</v>
      </c>
      <c r="G23" s="62"/>
      <c r="H23" s="62"/>
      <c r="I23" s="62" t="n">
        <v>-13</v>
      </c>
      <c r="J23" s="62" t="n">
        <v>3168</v>
      </c>
      <c r="K23" s="62" t="n">
        <v>-743</v>
      </c>
      <c r="L23" s="62" t="n">
        <v>-20044</v>
      </c>
      <c r="M23" s="62"/>
      <c r="N23" s="62" t="n">
        <f aca="false">M23+L23</f>
        <v>-20044</v>
      </c>
      <c r="O23" s="62" t="n">
        <v>14946</v>
      </c>
      <c r="P23" s="62"/>
      <c r="Q23" s="62" t="n">
        <v>436</v>
      </c>
      <c r="S23" s="62" t="n">
        <f aca="false">+'[11]JUNE_YTD '!$H$21</f>
        <v>0</v>
      </c>
    </row>
    <row r="24" customFormat="false" ht="12.75" hidden="false" customHeight="true" outlineLevel="4" collapsed="false">
      <c r="A24" s="57" t="s">
        <v>60</v>
      </c>
      <c r="B24" s="58" t="n">
        <f aca="false">D24+S24</f>
        <v>372</v>
      </c>
      <c r="C24" s="58"/>
      <c r="D24" s="62" t="n">
        <f aca="false">SUM(E24:M24)+O24+Q24</f>
        <v>372</v>
      </c>
      <c r="E24" s="62" t="n">
        <v>68</v>
      </c>
      <c r="F24" s="62" t="n">
        <v>131</v>
      </c>
      <c r="G24" s="62"/>
      <c r="H24" s="62"/>
      <c r="I24" s="62"/>
      <c r="J24" s="62"/>
      <c r="K24" s="62"/>
      <c r="L24" s="62" t="n">
        <v>173</v>
      </c>
      <c r="M24" s="62"/>
      <c r="N24" s="62" t="n">
        <f aca="false">M24+L24</f>
        <v>173</v>
      </c>
      <c r="O24" s="62"/>
      <c r="P24" s="62"/>
      <c r="Q24" s="62"/>
      <c r="S24" s="62" t="n">
        <f aca="false">+[12]MAY_YTD!$H$22</f>
        <v>0</v>
      </c>
    </row>
    <row r="25" customFormat="false" ht="12.75" hidden="false" customHeight="true" outlineLevel="4" collapsed="false">
      <c r="A25" s="57" t="s">
        <v>61</v>
      </c>
      <c r="B25" s="58" t="n">
        <f aca="false">D25+S25</f>
        <v>5</v>
      </c>
      <c r="C25" s="58"/>
      <c r="D25" s="62" t="n">
        <f aca="false">SUM(E25:M25)+O25+Q25</f>
        <v>5</v>
      </c>
      <c r="E25" s="62" t="n">
        <v>0</v>
      </c>
      <c r="F25" s="62" t="n">
        <v>5</v>
      </c>
      <c r="G25" s="62"/>
      <c r="H25" s="62"/>
      <c r="I25" s="62"/>
      <c r="J25" s="62"/>
      <c r="K25" s="62"/>
      <c r="L25" s="62"/>
      <c r="M25" s="62"/>
      <c r="N25" s="62" t="n">
        <f aca="false">M25+L25</f>
        <v>0</v>
      </c>
      <c r="O25" s="62"/>
      <c r="P25" s="62"/>
      <c r="Q25" s="62"/>
      <c r="S25" s="62" t="n">
        <f aca="false">+'[11]JUNE_YTD '!$H$23</f>
        <v>0</v>
      </c>
    </row>
    <row r="26" customFormat="false" ht="12.75" hidden="false" customHeight="true" outlineLevel="4" collapsed="false">
      <c r="A26" s="57" t="s">
        <v>62</v>
      </c>
      <c r="B26" s="58" t="n">
        <f aca="false">D26+S26</f>
        <v>-8370</v>
      </c>
      <c r="C26" s="58"/>
      <c r="D26" s="62" t="n">
        <f aca="false">SUM(E26:M26)+O26+Q26</f>
        <v>-8377</v>
      </c>
      <c r="E26" s="62" t="n">
        <v>-2484</v>
      </c>
      <c r="F26" s="62" t="n">
        <v>-2701</v>
      </c>
      <c r="G26" s="62"/>
      <c r="H26" s="62" t="n">
        <v>-389</v>
      </c>
      <c r="I26" s="62"/>
      <c r="J26" s="62" t="n">
        <v>-1294</v>
      </c>
      <c r="K26" s="62" t="n">
        <v>-5</v>
      </c>
      <c r="L26" s="62" t="n">
        <v>-110</v>
      </c>
      <c r="M26" s="62"/>
      <c r="N26" s="62" t="n">
        <f aca="false">M26+L26</f>
        <v>-110</v>
      </c>
      <c r="O26" s="62" t="n">
        <v>-1257</v>
      </c>
      <c r="P26" s="62"/>
      <c r="Q26" s="62" t="n">
        <v>-137</v>
      </c>
      <c r="S26" s="62" t="n">
        <f aca="false">+'[11]JUNE_YTD '!$H$24</f>
        <v>7</v>
      </c>
    </row>
    <row r="27" customFormat="false" ht="12.75" hidden="false" customHeight="true" outlineLevel="4" collapsed="false">
      <c r="A27" s="57" t="s">
        <v>104</v>
      </c>
      <c r="B27" s="58" t="n">
        <f aca="false">D27+S27</f>
        <v>-6313</v>
      </c>
      <c r="C27" s="58"/>
      <c r="D27" s="62" t="n">
        <f aca="false">SUM(E27:M27)+O27+Q27</f>
        <v>-6313</v>
      </c>
      <c r="E27" s="62" t="n">
        <v>-4797</v>
      </c>
      <c r="F27" s="62" t="n">
        <v>-1516</v>
      </c>
      <c r="G27" s="62"/>
      <c r="H27" s="62" t="n">
        <v>0</v>
      </c>
      <c r="I27" s="62"/>
      <c r="J27" s="62"/>
      <c r="K27" s="62"/>
      <c r="L27" s="62"/>
      <c r="M27" s="62"/>
      <c r="N27" s="62" t="n">
        <f aca="false">M27+L27</f>
        <v>0</v>
      </c>
      <c r="O27" s="62"/>
      <c r="P27" s="62"/>
      <c r="Q27" s="62"/>
      <c r="S27" s="62" t="n">
        <f aca="false">+'[11]JUNE_YTD '!$H$25</f>
        <v>0</v>
      </c>
    </row>
    <row r="28" customFormat="false" ht="12.75" hidden="false" customHeight="true" outlineLevel="4" collapsed="false">
      <c r="A28" s="57" t="s">
        <v>64</v>
      </c>
      <c r="B28" s="58" t="n">
        <f aca="false">D28+S28</f>
        <v>-2793</v>
      </c>
      <c r="C28" s="58"/>
      <c r="D28" s="62" t="n">
        <f aca="false">SUM(E28:M28)+O28+Q28</f>
        <v>-3028</v>
      </c>
      <c r="E28" s="62" t="n">
        <v>-1462</v>
      </c>
      <c r="F28" s="62" t="n">
        <v>-295</v>
      </c>
      <c r="G28" s="62"/>
      <c r="H28" s="62" t="n">
        <v>3</v>
      </c>
      <c r="I28" s="62"/>
      <c r="J28" s="62" t="n">
        <v>-3</v>
      </c>
      <c r="K28" s="62" t="n">
        <v>-2</v>
      </c>
      <c r="L28" s="62" t="n">
        <v>-1262</v>
      </c>
      <c r="M28" s="62" t="n">
        <v>0</v>
      </c>
      <c r="N28" s="62" t="n">
        <f aca="false">M28+L28</f>
        <v>-1262</v>
      </c>
      <c r="O28" s="62" t="n">
        <v>-7</v>
      </c>
      <c r="P28" s="62"/>
      <c r="Q28" s="62"/>
      <c r="S28" s="62" t="n">
        <f aca="false">+'[11]JUNE_YTD '!$H$26</f>
        <v>235</v>
      </c>
    </row>
    <row r="29" customFormat="false" ht="12.75" hidden="false" customHeight="true" outlineLevel="4" collapsed="false">
      <c r="A29" s="57" t="s">
        <v>65</v>
      </c>
      <c r="B29" s="58" t="n">
        <f aca="false">D29+S29</f>
        <v>-1034</v>
      </c>
      <c r="C29" s="58"/>
      <c r="D29" s="62" t="n">
        <f aca="false">SUM(E29:M29)+O29+Q29</f>
        <v>-1034</v>
      </c>
      <c r="E29" s="75" t="n">
        <v>0</v>
      </c>
      <c r="F29" s="75" t="n">
        <v>-1034</v>
      </c>
      <c r="G29" s="75"/>
      <c r="H29" s="75"/>
      <c r="I29" s="75"/>
      <c r="J29" s="75"/>
      <c r="K29" s="75"/>
      <c r="L29" s="75"/>
      <c r="M29" s="75"/>
      <c r="N29" s="62" t="n">
        <f aca="false">M29+L29</f>
        <v>0</v>
      </c>
      <c r="O29" s="75"/>
      <c r="P29" s="75"/>
      <c r="Q29" s="75"/>
      <c r="S29" s="62" t="n">
        <f aca="false">+'[11]JUNE_YTD '!$H$27</f>
        <v>0</v>
      </c>
    </row>
    <row r="30" customFormat="false" ht="12.75" hidden="false" customHeight="true" outlineLevel="4" collapsed="false">
      <c r="A30" s="57" t="s">
        <v>66</v>
      </c>
      <c r="B30" s="63" t="n">
        <f aca="false">D30+S30</f>
        <v>-8852</v>
      </c>
      <c r="C30" s="58"/>
      <c r="D30" s="62" t="n">
        <f aca="false">SUM(E30:M30)+O30+Q30</f>
        <v>-8852</v>
      </c>
      <c r="E30" s="64" t="n">
        <v>-9341</v>
      </c>
      <c r="F30" s="64" t="n">
        <v>183</v>
      </c>
      <c r="G30" s="64"/>
      <c r="H30" s="64" t="n">
        <v>-544</v>
      </c>
      <c r="I30" s="64"/>
      <c r="J30" s="64"/>
      <c r="K30" s="64" t="n">
        <v>0</v>
      </c>
      <c r="L30" s="64" t="n">
        <v>3</v>
      </c>
      <c r="M30" s="64"/>
      <c r="N30" s="64" t="n">
        <f aca="false">M30+L30</f>
        <v>3</v>
      </c>
      <c r="O30" s="64" t="n">
        <v>847</v>
      </c>
      <c r="P30" s="64"/>
      <c r="Q30" s="64"/>
      <c r="S30" s="62" t="n">
        <f aca="false">+'[11]JUNE_YTD '!$H$28</f>
        <v>0</v>
      </c>
    </row>
    <row r="31" customFormat="false" ht="12.75" hidden="false" customHeight="true" outlineLevel="4" collapsed="false">
      <c r="A31" s="57" t="s">
        <v>67</v>
      </c>
      <c r="B31" s="67" t="n">
        <f aca="false">SUM(B21:B30)</f>
        <v>-58596</v>
      </c>
      <c r="C31" s="68"/>
      <c r="D31" s="67" t="n">
        <f aca="false">SUM(D21:D30)</f>
        <v>-61504</v>
      </c>
      <c r="E31" s="67" t="n">
        <f aca="false">SUM(E21:E30)</f>
        <v>-45134</v>
      </c>
      <c r="F31" s="67" t="n">
        <f aca="false">SUM(F21:F30)</f>
        <v>-10184</v>
      </c>
      <c r="G31" s="67" t="n">
        <f aca="false">SUM(G21:G30)</f>
        <v>0</v>
      </c>
      <c r="H31" s="67" t="n">
        <f aca="false">SUM(H21:H30)</f>
        <v>-1104</v>
      </c>
      <c r="I31" s="67" t="n">
        <f aca="false">SUM(I21:I30)</f>
        <v>0</v>
      </c>
      <c r="J31" s="67" t="n">
        <f aca="false">SUM(J21:J30)</f>
        <v>598</v>
      </c>
      <c r="K31" s="67" t="n">
        <f aca="false">SUM(K21:K30)</f>
        <v>-476</v>
      </c>
      <c r="L31" s="67" t="n">
        <f aca="false">SUM(L21:L30)</f>
        <v>-21214</v>
      </c>
      <c r="M31" s="67" t="n">
        <f aca="false">SUM(M21:M30)</f>
        <v>0</v>
      </c>
      <c r="N31" s="67" t="n">
        <f aca="false">SUM(N21:N30)</f>
        <v>-21214</v>
      </c>
      <c r="O31" s="67" t="n">
        <f aca="false">SUM(O21:O30)</f>
        <v>15809</v>
      </c>
      <c r="P31" s="67"/>
      <c r="Q31" s="67" t="n">
        <f aca="false">SUM(Q21:Q30)</f>
        <v>201</v>
      </c>
      <c r="S31" s="67" t="n">
        <f aca="false">SUM(S21:S30)</f>
        <v>2908</v>
      </c>
    </row>
    <row r="32" customFormat="false" ht="12.75" hidden="false" customHeight="true" outlineLevel="4" collapsed="false">
      <c r="A32" s="57"/>
      <c r="B32" s="69"/>
      <c r="C32" s="68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42"/>
      <c r="S32" s="69"/>
    </row>
    <row r="33" customFormat="false" ht="12.75" hidden="false" customHeight="true" outlineLevel="3" collapsed="false">
      <c r="A33" s="57" t="s">
        <v>68</v>
      </c>
      <c r="B33" s="70" t="n">
        <f aca="false">B19+B31</f>
        <v>138037.448</v>
      </c>
      <c r="C33" s="58"/>
      <c r="D33" s="70" t="n">
        <f aca="false">D19+D31</f>
        <v>129896.718</v>
      </c>
      <c r="E33" s="70" t="n">
        <f aca="false">E19+E31</f>
        <v>56701.193</v>
      </c>
      <c r="F33" s="70" t="n">
        <f aca="false">F19+F31</f>
        <v>31415.383</v>
      </c>
      <c r="G33" s="70" t="n">
        <f aca="false">G19+G31</f>
        <v>0</v>
      </c>
      <c r="H33" s="70" t="n">
        <f aca="false">H19+H31</f>
        <v>694.782</v>
      </c>
      <c r="I33" s="70" t="n">
        <f aca="false">I19+I31</f>
        <v>0.701999999999999</v>
      </c>
      <c r="J33" s="70" t="n">
        <f aca="false">J19+J31</f>
        <v>1157.176</v>
      </c>
      <c r="K33" s="70" t="n">
        <f aca="false">K19+K31</f>
        <v>-392.789</v>
      </c>
      <c r="L33" s="70" t="n">
        <f aca="false">L19+L31</f>
        <v>805.585999999999</v>
      </c>
      <c r="M33" s="70" t="n">
        <f aca="false">M19+M31</f>
        <v>0</v>
      </c>
      <c r="N33" s="70" t="n">
        <f aca="false">N19+N31</f>
        <v>805.585999999999</v>
      </c>
      <c r="O33" s="70" t="n">
        <f aca="false">O19+O31</f>
        <v>39619.659</v>
      </c>
      <c r="P33" s="70"/>
      <c r="Q33" s="70" t="n">
        <f aca="false">Q19+Q31</f>
        <v>-104.974</v>
      </c>
      <c r="S33" s="70" t="n">
        <f aca="false">S19+S31</f>
        <v>8140.73</v>
      </c>
    </row>
    <row r="34" customFormat="false" ht="12.75" hidden="false" customHeight="true" outlineLevel="3" collapsed="false">
      <c r="B34" s="58"/>
      <c r="C34" s="58"/>
    </row>
    <row r="35" customFormat="false" ht="12.75" hidden="false" customHeight="true" outlineLevel="3" collapsed="false">
      <c r="A35" s="61" t="s">
        <v>69</v>
      </c>
      <c r="B35" s="58"/>
      <c r="C35" s="58"/>
    </row>
    <row r="36" customFormat="false" ht="12.75" hidden="false" customHeight="true" outlineLevel="4" collapsed="false">
      <c r="A36" s="57" t="s">
        <v>70</v>
      </c>
      <c r="B36" s="58" t="n">
        <f aca="false">D36+S36</f>
        <v>5479</v>
      </c>
      <c r="C36" s="58"/>
      <c r="D36" s="62" t="n">
        <f aca="false">SUM(E36:M36)+O36+Q36</f>
        <v>5479</v>
      </c>
      <c r="E36" s="76" t="n">
        <v>5479</v>
      </c>
      <c r="F36" s="76" t="n">
        <v>0</v>
      </c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S36" s="76"/>
    </row>
    <row r="37" customFormat="false" ht="12.75" hidden="false" customHeight="true" outlineLevel="4" collapsed="false">
      <c r="A37" s="57" t="s">
        <v>71</v>
      </c>
      <c r="B37" s="58" t="n">
        <f aca="false">D37+S37</f>
        <v>-30095</v>
      </c>
      <c r="C37" s="58"/>
      <c r="D37" s="62" t="n">
        <f aca="false">SUM(E37:M37)+O37+Q37</f>
        <v>-30095</v>
      </c>
      <c r="E37" s="76" t="n">
        <v>-17533</v>
      </c>
      <c r="F37" s="76" t="n">
        <v>-12562</v>
      </c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S37" s="76"/>
    </row>
    <row r="38" customFormat="false" ht="12.75" hidden="false" customHeight="true" outlineLevel="4" collapsed="false">
      <c r="A38" s="57" t="s">
        <v>105</v>
      </c>
      <c r="B38" s="58" t="n">
        <f aca="false">D38+S38</f>
        <v>27950</v>
      </c>
      <c r="C38" s="58"/>
      <c r="D38" s="62" t="n">
        <f aca="false">SUM(E38:M38)+O38+Q38</f>
        <v>27950</v>
      </c>
      <c r="E38" s="76" t="n">
        <f aca="false">28160-307</f>
        <v>27853</v>
      </c>
      <c r="F38" s="76" t="n">
        <f aca="false">324-227</f>
        <v>97</v>
      </c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S38" s="76"/>
    </row>
    <row r="39" customFormat="false" ht="12.75" hidden="false" customHeight="true" outlineLevel="4" collapsed="false">
      <c r="A39" s="57" t="s">
        <v>106</v>
      </c>
      <c r="B39" s="58" t="n">
        <f aca="false">D39+S39</f>
        <v>-6770</v>
      </c>
      <c r="C39" s="58"/>
      <c r="D39" s="62" t="n">
        <f aca="false">SUM(E39:Q39)</f>
        <v>0</v>
      </c>
      <c r="E39" s="76" t="n">
        <v>0</v>
      </c>
      <c r="F39" s="76" t="n">
        <v>0</v>
      </c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S39" s="76" t="n">
        <f aca="false">+'[11]JUNE_YTD '!$H$37</f>
        <v>-6770</v>
      </c>
    </row>
    <row r="40" customFormat="false" ht="12.75" hidden="false" customHeight="true" outlineLevel="4" collapsed="false">
      <c r="A40" s="57" t="s">
        <v>76</v>
      </c>
      <c r="B40" s="58" t="n">
        <f aca="false">D40+S40</f>
        <v>0</v>
      </c>
      <c r="C40" s="58"/>
      <c r="D40" s="62" t="n">
        <f aca="false">SUM(E40:Q40)</f>
        <v>0</v>
      </c>
      <c r="E40" s="76" t="n">
        <v>0</v>
      </c>
      <c r="F40" s="76" t="n">
        <v>0</v>
      </c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S40" s="76"/>
    </row>
    <row r="41" customFormat="false" ht="12.75" hidden="false" customHeight="true" outlineLevel="4" collapsed="false">
      <c r="A41" s="57" t="s">
        <v>77</v>
      </c>
      <c r="B41" s="63" t="n">
        <f aca="false">D41+S41</f>
        <v>-14</v>
      </c>
      <c r="C41" s="58"/>
      <c r="D41" s="64" t="n">
        <f aca="false">SUM(E41:M41)+O41+Q41</f>
        <v>-14</v>
      </c>
      <c r="E41" s="64" t="n">
        <v>-14</v>
      </c>
      <c r="F41" s="64" t="n">
        <v>0</v>
      </c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S41" s="64"/>
    </row>
    <row r="42" customFormat="false" ht="12.75" hidden="false" customHeight="true" outlineLevel="3" collapsed="false">
      <c r="A42" s="57" t="s">
        <v>78</v>
      </c>
      <c r="B42" s="70" t="n">
        <f aca="false">SUM(B36:B41)</f>
        <v>-3450</v>
      </c>
      <c r="C42" s="71" t="n">
        <f aca="false">SUM(C36:C41)</f>
        <v>0</v>
      </c>
      <c r="D42" s="70" t="n">
        <f aca="false">SUM(D36:D41)</f>
        <v>3320</v>
      </c>
      <c r="E42" s="70" t="n">
        <f aca="false">SUM(E36:E41)</f>
        <v>15785</v>
      </c>
      <c r="F42" s="70" t="n">
        <f aca="false">SUM(F36:F41)</f>
        <v>-12465</v>
      </c>
      <c r="G42" s="70" t="n">
        <f aca="false">SUM(G36:G41)</f>
        <v>0</v>
      </c>
      <c r="H42" s="70" t="n">
        <f aca="false">SUM(H36:H41)</f>
        <v>0</v>
      </c>
      <c r="I42" s="70" t="n">
        <f aca="false">SUM(I36:I41)</f>
        <v>0</v>
      </c>
      <c r="J42" s="70" t="n">
        <f aca="false">SUM(J36:J41)</f>
        <v>0</v>
      </c>
      <c r="K42" s="70" t="n">
        <f aca="false">SUM(K36:K41)</f>
        <v>0</v>
      </c>
      <c r="L42" s="70" t="n">
        <f aca="false">SUM(L36:L41)</f>
        <v>0</v>
      </c>
      <c r="M42" s="70" t="n">
        <f aca="false">SUM(M36:M41)</f>
        <v>0</v>
      </c>
      <c r="N42" s="70"/>
      <c r="O42" s="70" t="n">
        <f aca="false">SUM(O36:O41)</f>
        <v>0</v>
      </c>
      <c r="P42" s="70"/>
      <c r="Q42" s="70" t="n">
        <f aca="false">SUM(Q36:Q41)</f>
        <v>0</v>
      </c>
      <c r="S42" s="70" t="n">
        <f aca="false">SUM(S36:S41)</f>
        <v>-6770</v>
      </c>
    </row>
    <row r="43" customFormat="false" ht="12.75" hidden="false" customHeight="true" outlineLevel="3" collapsed="false">
      <c r="B43" s="58"/>
      <c r="C43" s="58"/>
    </row>
    <row r="44" customFormat="false" ht="12.75" hidden="false" customHeight="true" outlineLevel="3" collapsed="false">
      <c r="A44" s="61" t="s">
        <v>79</v>
      </c>
      <c r="B44" s="58"/>
      <c r="C44" s="58"/>
    </row>
    <row r="45" customFormat="false" ht="12.75" hidden="false" customHeight="true" outlineLevel="4" collapsed="false">
      <c r="A45" s="57" t="s">
        <v>80</v>
      </c>
      <c r="B45" s="58" t="n">
        <f aca="false">D45+S45</f>
        <v>0</v>
      </c>
      <c r="C45" s="58"/>
      <c r="D45" s="62" t="n">
        <f aca="false">SUM(E45:Q45)</f>
        <v>0</v>
      </c>
      <c r="E45" s="62"/>
      <c r="F45" s="62" t="n">
        <v>0</v>
      </c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S45" s="62"/>
    </row>
    <row r="46" customFormat="false" ht="12.75" hidden="false" customHeight="true" outlineLevel="4" collapsed="false">
      <c r="A46" s="57" t="s">
        <v>81</v>
      </c>
      <c r="B46" s="58" t="n">
        <f aca="false">D46+S46</f>
        <v>150000</v>
      </c>
      <c r="C46" s="58"/>
      <c r="D46" s="62" t="n">
        <f aca="false">SUM(E46:M46)+O46+Q46</f>
        <v>150000</v>
      </c>
      <c r="E46" s="62"/>
      <c r="F46" s="62" t="n">
        <v>150000</v>
      </c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S46" s="62"/>
    </row>
    <row r="47" customFormat="false" ht="12.75" hidden="false" customHeight="true" outlineLevel="4" collapsed="false">
      <c r="A47" s="57" t="s">
        <v>83</v>
      </c>
      <c r="B47" s="58" t="n">
        <f aca="false">D47+S47</f>
        <v>-123000</v>
      </c>
      <c r="C47" s="58"/>
      <c r="D47" s="62" t="n">
        <f aca="false">SUM(E47:Q47)</f>
        <v>-123000</v>
      </c>
      <c r="E47" s="62"/>
      <c r="F47" s="62" t="n">
        <v>-123000</v>
      </c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S47" s="62"/>
    </row>
    <row r="48" customFormat="false" ht="12.75" hidden="false" customHeight="true" outlineLevel="4" collapsed="false">
      <c r="A48" s="57" t="s">
        <v>84</v>
      </c>
      <c r="B48" s="58" t="n">
        <f aca="false">D48+S48</f>
        <v>0</v>
      </c>
      <c r="C48" s="58"/>
      <c r="D48" s="62" t="n">
        <f aca="false">SUM(E48:M48)+O48+Q48</f>
        <v>0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S48" s="62"/>
    </row>
    <row r="49" customFormat="false" ht="12.75" hidden="false" customHeight="true" outlineLevel="4" collapsed="false">
      <c r="A49" s="57" t="s">
        <v>107</v>
      </c>
      <c r="B49" s="58" t="n">
        <f aca="false">D49+S49</f>
        <v>0</v>
      </c>
      <c r="C49" s="58"/>
      <c r="D49" s="62" t="n">
        <f aca="false">SUM(E49:Q49)</f>
        <v>0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S49" s="75"/>
    </row>
    <row r="50" customFormat="false" ht="12.75" hidden="false" customHeight="true" outlineLevel="3" collapsed="false">
      <c r="A50" s="57" t="s">
        <v>86</v>
      </c>
      <c r="B50" s="72" t="n">
        <f aca="false">SUM(B45:B49)</f>
        <v>27000</v>
      </c>
      <c r="C50" s="58"/>
      <c r="D50" s="72" t="n">
        <f aca="false">SUM(D45:D49)</f>
        <v>27000</v>
      </c>
      <c r="E50" s="72" t="n">
        <f aca="false">SUM(E45:E49)</f>
        <v>0</v>
      </c>
      <c r="F50" s="72" t="n">
        <f aca="false">SUM(F45:F49)</f>
        <v>27000</v>
      </c>
      <c r="G50" s="72" t="n">
        <f aca="false">SUM(G45:G49)</f>
        <v>0</v>
      </c>
      <c r="H50" s="72" t="n">
        <f aca="false">SUM(H45:H49)</f>
        <v>0</v>
      </c>
      <c r="I50" s="72" t="n">
        <f aca="false">SUM(I45:I49)</f>
        <v>0</v>
      </c>
      <c r="J50" s="72" t="n">
        <f aca="false">SUM(J45:J49)</f>
        <v>0</v>
      </c>
      <c r="K50" s="72" t="n">
        <f aca="false">SUM(K45:K49)</f>
        <v>0</v>
      </c>
      <c r="L50" s="72" t="n">
        <f aca="false">SUM(L45:L49)</f>
        <v>0</v>
      </c>
      <c r="M50" s="72" t="n">
        <f aca="false">SUM(M45:M49)</f>
        <v>0</v>
      </c>
      <c r="N50" s="72"/>
      <c r="O50" s="72" t="n">
        <f aca="false">SUM(O45:O49)</f>
        <v>0</v>
      </c>
      <c r="P50" s="72"/>
      <c r="Q50" s="72" t="n">
        <f aca="false">SUM(Q45:Q49)</f>
        <v>0</v>
      </c>
      <c r="S50" s="72" t="n">
        <f aca="false">SUM(S45:S49)</f>
        <v>0</v>
      </c>
    </row>
    <row r="51" customFormat="false" ht="12.75" hidden="false" customHeight="true" outlineLevel="3" collapsed="false">
      <c r="A51" s="57"/>
      <c r="B51" s="71"/>
      <c r="C51" s="58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S51" s="71"/>
    </row>
    <row r="52" customFormat="false" ht="12.75" hidden="false" customHeight="true" outlineLevel="2" collapsed="false">
      <c r="A52" s="57" t="s">
        <v>87</v>
      </c>
      <c r="B52" s="71" t="n">
        <f aca="false">B33+B42+B50</f>
        <v>161587.448</v>
      </c>
      <c r="C52" s="58"/>
      <c r="D52" s="71" t="n">
        <f aca="false">D33+D42+D50</f>
        <v>160216.718</v>
      </c>
      <c r="E52" s="71" t="n">
        <f aca="false">E33+E42+E50</f>
        <v>72486.193</v>
      </c>
      <c r="F52" s="71" t="n">
        <f aca="false">F33+F42+F50</f>
        <v>45950.383</v>
      </c>
      <c r="G52" s="71" t="n">
        <f aca="false">G33+G42+G50</f>
        <v>0</v>
      </c>
      <c r="H52" s="71" t="n">
        <f aca="false">H33+H42+H50</f>
        <v>694.782</v>
      </c>
      <c r="I52" s="71" t="n">
        <f aca="false">I33+I42+I50</f>
        <v>0.701999999999999</v>
      </c>
      <c r="J52" s="71" t="n">
        <f aca="false">J33+J42+J50</f>
        <v>1157.176</v>
      </c>
      <c r="K52" s="71" t="n">
        <f aca="false">K33+K42+K50</f>
        <v>-392.789</v>
      </c>
      <c r="L52" s="71" t="n">
        <f aca="false">L33+L42+L50</f>
        <v>805.585999999999</v>
      </c>
      <c r="M52" s="71" t="n">
        <f aca="false">M33+M42+M50</f>
        <v>0</v>
      </c>
      <c r="N52" s="71" t="n">
        <f aca="false">M52+L52</f>
        <v>805.585999999999</v>
      </c>
      <c r="O52" s="71" t="n">
        <f aca="false">O33+O42+O50</f>
        <v>39619.659</v>
      </c>
      <c r="P52" s="71"/>
      <c r="Q52" s="71" t="n">
        <f aca="false">Q33+Q42+Q50</f>
        <v>-104.974</v>
      </c>
      <c r="S52" s="71" t="n">
        <f aca="false">S33+S42+S50</f>
        <v>1370.73</v>
      </c>
    </row>
    <row r="53" customFormat="false" ht="12.75" hidden="false" customHeight="true" outlineLevel="2" collapsed="false">
      <c r="A53" s="57"/>
      <c r="B53" s="71"/>
      <c r="C53" s="58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S53" s="71"/>
    </row>
    <row r="54" customFormat="false" ht="12.75" hidden="false" customHeight="true" outlineLevel="2" collapsed="false">
      <c r="A54" s="57" t="s">
        <v>88</v>
      </c>
      <c r="B54" s="63" t="n">
        <f aca="false">D54+S54</f>
        <v>3542</v>
      </c>
      <c r="C54" s="58"/>
      <c r="D54" s="64" t="n">
        <f aca="false">SUM(E54:M54)+O54+Q54</f>
        <v>-5</v>
      </c>
      <c r="E54" s="77" t="n">
        <v>0</v>
      </c>
      <c r="F54" s="77" t="n">
        <v>0</v>
      </c>
      <c r="G54" s="77" t="n">
        <v>0</v>
      </c>
      <c r="H54" s="77" t="n">
        <v>0</v>
      </c>
      <c r="I54" s="77" t="n">
        <v>0</v>
      </c>
      <c r="J54" s="77" t="n">
        <v>0</v>
      </c>
      <c r="K54" s="77" t="n">
        <v>0</v>
      </c>
      <c r="L54" s="77" t="n">
        <v>0</v>
      </c>
      <c r="M54" s="77" t="n">
        <v>0</v>
      </c>
      <c r="N54" s="77" t="n">
        <v>0</v>
      </c>
      <c r="O54" s="77" t="n">
        <v>0</v>
      </c>
      <c r="P54" s="77"/>
      <c r="Q54" s="77" t="n">
        <v>-5</v>
      </c>
      <c r="S54" s="77" t="n">
        <f aca="false">+'[11]JUNE_YTD '!$H$50</f>
        <v>3547</v>
      </c>
    </row>
    <row r="55" customFormat="false" ht="12.75" hidden="false" customHeight="true" outlineLevel="2" collapsed="false">
      <c r="A55" s="57"/>
      <c r="B55" s="58"/>
      <c r="C55" s="58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S55" s="73"/>
    </row>
    <row r="56" customFormat="false" ht="12.75" hidden="false" customHeight="true" outlineLevel="1" collapsed="false">
      <c r="A56" s="57" t="s">
        <v>89</v>
      </c>
      <c r="B56" s="74" t="n">
        <f aca="false">B52-B54</f>
        <v>158045.448</v>
      </c>
      <c r="C56" s="58"/>
      <c r="D56" s="74" t="n">
        <f aca="false">D52-D54</f>
        <v>160221.718</v>
      </c>
      <c r="E56" s="74" t="n">
        <f aca="false">E52-E54</f>
        <v>72486.193</v>
      </c>
      <c r="F56" s="74" t="n">
        <f aca="false">F52-F54</f>
        <v>45950.383</v>
      </c>
      <c r="G56" s="74" t="n">
        <f aca="false">G52-G54</f>
        <v>0</v>
      </c>
      <c r="H56" s="74" t="n">
        <f aca="false">H52-H54</f>
        <v>694.782</v>
      </c>
      <c r="I56" s="74" t="n">
        <f aca="false">I52-I54</f>
        <v>0.701999999999999</v>
      </c>
      <c r="J56" s="74" t="n">
        <f aca="false">J52-J54</f>
        <v>1157.176</v>
      </c>
      <c r="K56" s="74" t="n">
        <f aca="false">K52-K54</f>
        <v>-392.789</v>
      </c>
      <c r="L56" s="74" t="n">
        <f aca="false">L52-L54</f>
        <v>805.585999999999</v>
      </c>
      <c r="M56" s="74" t="n">
        <f aca="false">M52-M54</f>
        <v>0</v>
      </c>
      <c r="N56" s="74" t="n">
        <f aca="false">N52-N54</f>
        <v>805.585999999999</v>
      </c>
      <c r="O56" s="74" t="n">
        <f aca="false">O52-O54</f>
        <v>39619.659</v>
      </c>
      <c r="P56" s="74"/>
      <c r="Q56" s="74" t="n">
        <f aca="false">Q52-Q54</f>
        <v>-99.974</v>
      </c>
      <c r="S56" s="74" t="n">
        <f aca="false">S52-S54</f>
        <v>-2176.27</v>
      </c>
    </row>
    <row r="57" customFormat="false" ht="12.75" hidden="false" customHeight="true" outlineLevel="1" collapsed="false">
      <c r="B57" s="42"/>
      <c r="C57" s="42"/>
    </row>
    <row r="58" customFormat="false" ht="12.75" hidden="false" customHeight="true" outlineLevel="0" collapsed="false">
      <c r="A58" s="40" t="s">
        <v>90</v>
      </c>
      <c r="B58" s="64" t="n">
        <f aca="false">D58+S58</f>
        <v>-27040</v>
      </c>
      <c r="C58" s="42"/>
      <c r="D58" s="64" t="n">
        <f aca="false">SUM(E58:Q58)</f>
        <v>-27040</v>
      </c>
      <c r="E58" s="77" t="n">
        <v>-39</v>
      </c>
      <c r="F58" s="77" t="n">
        <v>-27000</v>
      </c>
      <c r="G58" s="77" t="n">
        <v>0</v>
      </c>
      <c r="H58" s="77" t="n">
        <v>0</v>
      </c>
      <c r="I58" s="77" t="n">
        <v>145</v>
      </c>
      <c r="J58" s="77" t="n">
        <v>-997</v>
      </c>
      <c r="K58" s="77" t="n">
        <v>851</v>
      </c>
      <c r="L58" s="77" t="n">
        <v>0</v>
      </c>
      <c r="M58" s="77" t="n">
        <v>0</v>
      </c>
      <c r="N58" s="77" t="n">
        <v>0</v>
      </c>
      <c r="O58" s="77" t="n">
        <v>0</v>
      </c>
      <c r="P58" s="77"/>
      <c r="Q58" s="77" t="n">
        <v>0</v>
      </c>
      <c r="S58" s="77" t="n">
        <v>0</v>
      </c>
    </row>
    <row r="59" customFormat="false" ht="12.75" hidden="false" customHeight="true" outlineLevel="0" collapsed="false">
      <c r="B59" s="42"/>
      <c r="C59" s="42"/>
    </row>
    <row r="60" customFormat="false" ht="12.75" hidden="false" customHeight="true" outlineLevel="0" collapsed="false">
      <c r="A60" s="40" t="s">
        <v>91</v>
      </c>
      <c r="B60" s="74" t="n">
        <f aca="false">B56+B58</f>
        <v>131005.448</v>
      </c>
      <c r="C60" s="42"/>
      <c r="D60" s="74" t="n">
        <f aca="false">D56+D58</f>
        <v>133181.718</v>
      </c>
      <c r="E60" s="74" t="n">
        <f aca="false">E56+E58</f>
        <v>72447.193</v>
      </c>
      <c r="F60" s="74" t="n">
        <f aca="false">F56+F58</f>
        <v>18950.383</v>
      </c>
      <c r="G60" s="74" t="n">
        <f aca="false">G56+G58</f>
        <v>0</v>
      </c>
      <c r="H60" s="74" t="n">
        <f aca="false">H56+H58</f>
        <v>694.782</v>
      </c>
      <c r="I60" s="74" t="n">
        <f aca="false">I56+I58</f>
        <v>145.702</v>
      </c>
      <c r="J60" s="74" t="n">
        <f aca="false">J56+J58</f>
        <v>160.176</v>
      </c>
      <c r="K60" s="74" t="n">
        <f aca="false">K56+K58</f>
        <v>458.211</v>
      </c>
      <c r="L60" s="74" t="n">
        <f aca="false">L56+L58</f>
        <v>805.585999999999</v>
      </c>
      <c r="M60" s="74" t="n">
        <f aca="false">M56+M58</f>
        <v>0</v>
      </c>
      <c r="N60" s="74" t="n">
        <f aca="false">M60+L60</f>
        <v>805.585999999999</v>
      </c>
      <c r="O60" s="74" t="n">
        <f aca="false">O56+O58</f>
        <v>39619.659</v>
      </c>
      <c r="P60" s="74"/>
      <c r="Q60" s="74" t="n">
        <f aca="false">Q56-Q58</f>
        <v>-99.974</v>
      </c>
      <c r="S60" s="74" t="n">
        <f aca="false">S56+S58</f>
        <v>-2176.27</v>
      </c>
    </row>
    <row r="61" customFormat="false" ht="12.75" hidden="false" customHeight="true" outlineLevel="0" collapsed="false">
      <c r="B61" s="42"/>
      <c r="C61" s="42"/>
    </row>
    <row r="62" customFormat="false" ht="12.75" hidden="false" customHeight="true" outlineLevel="0" collapsed="false">
      <c r="B62" s="42"/>
      <c r="C62" s="42"/>
    </row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509722222222222" bottom="0.27986111111111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8.9921875" defaultRowHeight="12.75" customHeight="true" zeroHeight="false" outlineLevelRow="4" outlineLevelCol="0"/>
  <cols>
    <col collapsed="false" customWidth="true" hidden="false" outlineLevel="0" max="1" min="1" style="40" width="67.99"/>
    <col collapsed="false" customWidth="true" hidden="false" outlineLevel="0" max="2" min="2" style="40" width="14.49"/>
    <col collapsed="false" customWidth="true" hidden="false" outlineLevel="0" max="3" min="3" style="40" width="1.82"/>
    <col collapsed="false" customWidth="true" hidden="false" outlineLevel="0" max="4" min="4" style="40" width="11.82"/>
    <col collapsed="false" customWidth="true" hidden="false" outlineLevel="0" max="5" min="5" style="40" width="10.65"/>
    <col collapsed="false" customWidth="true" hidden="false" outlineLevel="0" max="6" min="6" style="40" width="10.82"/>
    <col collapsed="false" customWidth="true" hidden="false" outlineLevel="0" max="7" min="7" style="40" width="12.82"/>
    <col collapsed="false" customWidth="true" hidden="false" outlineLevel="0" max="11" min="8" style="40" width="10.82"/>
    <col collapsed="false" customWidth="true" hidden="true" outlineLevel="0" max="13" min="12" style="40" width="10.82"/>
    <col collapsed="false" customWidth="true" hidden="false" outlineLevel="0" max="15" min="14" style="40" width="12.16"/>
    <col collapsed="false" customWidth="true" hidden="false" outlineLevel="0" max="16" min="16" style="40" width="10.82"/>
    <col collapsed="false" customWidth="true" hidden="false" outlineLevel="0" max="17" min="17" style="40" width="3.65"/>
    <col collapsed="false" customWidth="true" hidden="false" outlineLevel="0" max="18" min="18" style="40" width="9.82"/>
    <col collapsed="false" customWidth="false" hidden="false" outlineLevel="0" max="257" min="19" style="40" width="8.99"/>
  </cols>
  <sheetData>
    <row r="1" customFormat="false" ht="12.75" hidden="false" customHeight="true" outlineLevel="0" collapsed="false">
      <c r="A1" s="41" t="s">
        <v>18</v>
      </c>
      <c r="B1" s="42"/>
      <c r="C1" s="42"/>
      <c r="D1" s="42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customFormat="false" ht="12.75" hidden="false" customHeight="true" outlineLevel="0" collapsed="false">
      <c r="A2" s="44" t="s">
        <v>19</v>
      </c>
      <c r="D2" s="45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customFormat="false" ht="12.75" hidden="false" customHeight="true" outlineLevel="0" collapsed="false">
      <c r="A3" s="47" t="s">
        <v>115</v>
      </c>
      <c r="B3" s="42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</row>
    <row r="4" customFormat="false" ht="12.75" hidden="false" customHeight="true" outlineLevel="0" collapsed="false">
      <c r="A4" s="42"/>
      <c r="B4" s="49" t="s">
        <v>97</v>
      </c>
      <c r="C4" s="50"/>
      <c r="D4" s="51"/>
      <c r="I4" s="52" t="s">
        <v>98</v>
      </c>
      <c r="J4" s="52" t="s">
        <v>28</v>
      </c>
      <c r="K4" s="52" t="s">
        <v>29</v>
      </c>
      <c r="L4" s="52" t="s">
        <v>30</v>
      </c>
      <c r="M4" s="52" t="s">
        <v>31</v>
      </c>
      <c r="N4" s="52" t="s">
        <v>30</v>
      </c>
      <c r="O4" s="52" t="s">
        <v>32</v>
      </c>
      <c r="R4" s="53" t="s">
        <v>21</v>
      </c>
    </row>
    <row r="5" customFormat="false" ht="12.75" hidden="false" customHeight="true" outlineLevel="0" collapsed="false">
      <c r="A5" s="54" t="s">
        <v>34</v>
      </c>
      <c r="B5" s="55" t="s">
        <v>100</v>
      </c>
      <c r="C5" s="52"/>
      <c r="D5" s="51" t="s">
        <v>35</v>
      </c>
      <c r="E5" s="51" t="s">
        <v>22</v>
      </c>
      <c r="F5" s="51" t="s">
        <v>23</v>
      </c>
      <c r="G5" s="51" t="s">
        <v>24</v>
      </c>
      <c r="H5" s="51" t="s">
        <v>25</v>
      </c>
      <c r="I5" s="51" t="n">
        <v>543</v>
      </c>
      <c r="J5" s="51" t="n">
        <v>584</v>
      </c>
      <c r="K5" s="51" t="n">
        <v>583</v>
      </c>
      <c r="L5" s="51" t="s">
        <v>36</v>
      </c>
      <c r="M5" s="51"/>
      <c r="N5" s="51" t="s">
        <v>37</v>
      </c>
      <c r="O5" s="51" t="s">
        <v>38</v>
      </c>
      <c r="P5" s="51" t="s">
        <v>33</v>
      </c>
      <c r="R5" s="56" t="s">
        <v>102</v>
      </c>
    </row>
    <row r="6" customFormat="false" ht="12.75" hidden="false" customHeight="true" outlineLevel="2" collapsed="false">
      <c r="A6" s="57"/>
      <c r="B6" s="58"/>
      <c r="C6" s="58"/>
      <c r="D6" s="59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</row>
    <row r="7" customFormat="false" ht="12.75" hidden="false" customHeight="true" outlineLevel="4" collapsed="false">
      <c r="A7" s="61" t="s">
        <v>39</v>
      </c>
      <c r="B7" s="58"/>
      <c r="C7" s="58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</row>
    <row r="8" customFormat="false" ht="12.75" hidden="false" customHeight="true" outlineLevel="4" collapsed="false">
      <c r="A8" s="57" t="s">
        <v>40</v>
      </c>
      <c r="B8" s="58" t="n">
        <f aca="false">D8+R8</f>
        <v>19930.819</v>
      </c>
      <c r="C8" s="58"/>
      <c r="D8" s="62" t="n">
        <f aca="false">SUM(E8:M8)+O8+P8</f>
        <v>19789.879</v>
      </c>
      <c r="E8" s="62" t="n">
        <f aca="false">MayYTD!E8-AprYTD!E8</f>
        <v>10217.576</v>
      </c>
      <c r="F8" s="62" t="n">
        <f aca="false">MayYTD!F8-AprYTD!F8</f>
        <v>5146.553</v>
      </c>
      <c r="G8" s="62" t="n">
        <f aca="false">MayYTD!G8-AprYTD!G8</f>
        <v>2413.202</v>
      </c>
      <c r="H8" s="62" t="n">
        <f aca="false">MayYTD!H8-AprYTD!H8</f>
        <v>329.866</v>
      </c>
      <c r="I8" s="62" t="n">
        <f aca="false">MayYTD!I8-AprYTD!I8</f>
        <v>-6.383</v>
      </c>
      <c r="J8" s="62" t="n">
        <f aca="false">MayYTD!J8-AprYTD!J8</f>
        <v>162.233000000001</v>
      </c>
      <c r="K8" s="62" t="n">
        <f aca="false">MayYTD!K8-AprYTD!K8</f>
        <v>3.16899999999981</v>
      </c>
      <c r="L8" s="62" t="n">
        <f aca="false">MayYTD!L8-AprYTD!L8</f>
        <v>-7.48</v>
      </c>
      <c r="M8" s="62" t="n">
        <f aca="false">MayYTD!M8-AprYTD!M8</f>
        <v>0</v>
      </c>
      <c r="N8" s="62" t="n">
        <f aca="false">M8+L8</f>
        <v>-7.48</v>
      </c>
      <c r="O8" s="62" t="n">
        <f aca="false">MayYTD!O8-AprYTD!O8</f>
        <v>1576.696</v>
      </c>
      <c r="P8" s="62" t="n">
        <f aca="false">MayYTD!P8-AprYTD!P8</f>
        <v>-45.553</v>
      </c>
      <c r="R8" s="62" t="n">
        <f aca="false">MayYTD!R8-AprYTD!R8</f>
        <v>140.94</v>
      </c>
    </row>
    <row r="9" customFormat="false" ht="12.75" hidden="false" customHeight="true" outlineLevel="4" collapsed="false">
      <c r="A9" s="57" t="s">
        <v>41</v>
      </c>
      <c r="B9" s="63" t="n">
        <f aca="false">D9+R9</f>
        <v>2428.066</v>
      </c>
      <c r="C9" s="58"/>
      <c r="D9" s="64" t="n">
        <f aca="false">SUM(E9:M9)+O9+P9</f>
        <v>2428.066</v>
      </c>
      <c r="E9" s="64" t="n">
        <f aca="false">MayYTD!E9-AprYTD!E9</f>
        <v>-1172.065</v>
      </c>
      <c r="F9" s="64" t="n">
        <f aca="false">MayYTD!F9-AprYTD!F9</f>
        <v>234.198</v>
      </c>
      <c r="G9" s="64" t="n">
        <f aca="false">MayYTD!G9-AprYTD!G9</f>
        <v>0</v>
      </c>
      <c r="H9" s="64" t="n">
        <f aca="false">MayYTD!H9-AprYTD!H9</f>
        <v>292.657</v>
      </c>
      <c r="I9" s="64" t="n">
        <f aca="false">MayYTD!I9-AprYTD!I9</f>
        <v>0</v>
      </c>
      <c r="J9" s="64" t="n">
        <f aca="false">MayYTD!J9-AprYTD!J9</f>
        <v>27.116</v>
      </c>
      <c r="K9" s="64" t="n">
        <f aca="false">MayYTD!K9-AprYTD!K9</f>
        <v>0</v>
      </c>
      <c r="L9" s="64" t="n">
        <f aca="false">MayYTD!L9-AprYTD!L9</f>
        <v>0</v>
      </c>
      <c r="M9" s="64" t="n">
        <f aca="false">MayYTD!M9-AprYTD!M9</f>
        <v>0</v>
      </c>
      <c r="N9" s="64" t="n">
        <f aca="false">M9+L9</f>
        <v>0</v>
      </c>
      <c r="O9" s="64" t="n">
        <f aca="false">MayYTD!O9-AprYTD!O9</f>
        <v>3046.16</v>
      </c>
      <c r="P9" s="64" t="n">
        <f aca="false">MayYTD!P9-AprYTD!P9</f>
        <v>0</v>
      </c>
      <c r="R9" s="50"/>
    </row>
    <row r="10" customFormat="false" ht="12.75" hidden="false" customHeight="true" outlineLevel="4" collapsed="false">
      <c r="A10" s="57" t="s">
        <v>42</v>
      </c>
      <c r="B10" s="65" t="n">
        <f aca="false">B8+B9</f>
        <v>22358.885</v>
      </c>
      <c r="C10" s="58"/>
      <c r="D10" s="65" t="n">
        <f aca="false">D8+D9</f>
        <v>22217.945</v>
      </c>
      <c r="E10" s="65" t="n">
        <f aca="false">E8+E9</f>
        <v>9045.51100000004</v>
      </c>
      <c r="F10" s="65" t="n">
        <f aca="false">F8+F9</f>
        <v>5380.751</v>
      </c>
      <c r="G10" s="65" t="n">
        <f aca="false">G8+G9</f>
        <v>2413.202</v>
      </c>
      <c r="H10" s="65" t="n">
        <f aca="false">H8+H9</f>
        <v>622.523</v>
      </c>
      <c r="I10" s="65" t="n">
        <f aca="false">I8+I9</f>
        <v>-6.383</v>
      </c>
      <c r="J10" s="65" t="n">
        <f aca="false">J8+J9</f>
        <v>189.349000000001</v>
      </c>
      <c r="K10" s="65" t="n">
        <f aca="false">K8+K9</f>
        <v>3.16899999999981</v>
      </c>
      <c r="L10" s="65" t="n">
        <f aca="false">L8+L9</f>
        <v>-7.48</v>
      </c>
      <c r="M10" s="65" t="n">
        <f aca="false">M8+M9</f>
        <v>0</v>
      </c>
      <c r="N10" s="65" t="n">
        <f aca="false">N8</f>
        <v>-7.48</v>
      </c>
      <c r="O10" s="65" t="n">
        <f aca="false">O8+O9</f>
        <v>4622.856</v>
      </c>
      <c r="P10" s="65" t="n">
        <f aca="false">P8+P9</f>
        <v>-45.553</v>
      </c>
      <c r="R10" s="65" t="n">
        <f aca="false">R8+R9</f>
        <v>140.94</v>
      </c>
    </row>
    <row r="11" customFormat="false" ht="12.75" hidden="false" customHeight="true" outlineLevel="4" collapsed="false">
      <c r="A11" s="57"/>
      <c r="B11" s="65"/>
      <c r="C11" s="58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R11" s="65"/>
    </row>
    <row r="12" customFormat="false" ht="12.75" hidden="false" customHeight="true" outlineLevel="4" collapsed="false">
      <c r="A12" s="57" t="s">
        <v>43</v>
      </c>
      <c r="B12" s="58" t="n">
        <f aca="false">D12+R12</f>
        <v>5563.835</v>
      </c>
      <c r="C12" s="58"/>
      <c r="D12" s="62" t="n">
        <f aca="false">SUM(E12:M12)+O12+P12</f>
        <v>5563.835</v>
      </c>
      <c r="E12" s="62" t="n">
        <f aca="false">MayYTD!E12-AprYTD!E12</f>
        <v>3909.434</v>
      </c>
      <c r="F12" s="62" t="n">
        <f aca="false">MayYTD!F12-AprYTD!F12</f>
        <v>1654.401</v>
      </c>
      <c r="G12" s="62" t="n">
        <f aca="false">MayYTD!G12-AprYTD!G12</f>
        <v>0</v>
      </c>
      <c r="H12" s="62" t="n">
        <f aca="false">MayYTD!H12-AprYTD!H12</f>
        <v>0</v>
      </c>
      <c r="I12" s="62" t="n">
        <f aca="false">MayYTD!I12-AprYTD!I12</f>
        <v>0</v>
      </c>
      <c r="J12" s="62" t="n">
        <f aca="false">MayYTD!J12-AprYTD!J12</f>
        <v>0</v>
      </c>
      <c r="K12" s="62" t="n">
        <f aca="false">MayYTD!K12-AprYTD!K12</f>
        <v>0</v>
      </c>
      <c r="L12" s="62" t="n">
        <f aca="false">MayYTD!L12-AprYTD!L12</f>
        <v>0</v>
      </c>
      <c r="M12" s="62" t="n">
        <f aca="false">MayYTD!M12-AprYTD!M12</f>
        <v>0</v>
      </c>
      <c r="N12" s="62" t="n">
        <f aca="false">M12+L12</f>
        <v>0</v>
      </c>
      <c r="O12" s="62" t="n">
        <f aca="false">MayYTD!O12-AprYTD!O12</f>
        <v>0</v>
      </c>
      <c r="P12" s="62" t="n">
        <f aca="false">MayYTD!P12-AprYTD!P12</f>
        <v>0</v>
      </c>
      <c r="R12" s="62" t="n">
        <f aca="false">MayYTD!R12-AprYTD!R12</f>
        <v>0</v>
      </c>
    </row>
    <row r="13" customFormat="false" ht="12.75" hidden="false" customHeight="true" outlineLevel="4" collapsed="false">
      <c r="A13" s="57" t="s">
        <v>45</v>
      </c>
      <c r="B13" s="58" t="n">
        <f aca="false">D13+R13</f>
        <v>3650.086</v>
      </c>
      <c r="C13" s="58"/>
      <c r="D13" s="62" t="n">
        <f aca="false">SUM(E13:M13)+O13+P13</f>
        <v>3645.023</v>
      </c>
      <c r="E13" s="62" t="n">
        <f aca="false">MayYTD!E13-AprYTD!E13</f>
        <v>3529.173</v>
      </c>
      <c r="F13" s="62" t="n">
        <f aca="false">MayYTD!F13-AprYTD!F13</f>
        <v>58.4969999999998</v>
      </c>
      <c r="G13" s="62" t="n">
        <f aca="false">MayYTD!G13-AprYTD!G13</f>
        <v>0</v>
      </c>
      <c r="H13" s="62" t="n">
        <f aca="false">MayYTD!H13-AprYTD!H13</f>
        <v>52.899</v>
      </c>
      <c r="I13" s="62" t="n">
        <f aca="false">MayYTD!I13-AprYTD!I13</f>
        <v>0</v>
      </c>
      <c r="J13" s="62" t="n">
        <f aca="false">MayYTD!J13-AprYTD!J13</f>
        <v>0</v>
      </c>
      <c r="K13" s="62" t="n">
        <f aca="false">MayYTD!K13-AprYTD!K13</f>
        <v>-0.608</v>
      </c>
      <c r="L13" s="62" t="n">
        <f aca="false">MayYTD!L13-AprYTD!L13</f>
        <v>5.062</v>
      </c>
      <c r="M13" s="62" t="n">
        <f aca="false">MayYTD!M13-AprYTD!M13</f>
        <v>0</v>
      </c>
      <c r="N13" s="62" t="n">
        <f aca="false">M13+L13</f>
        <v>5.062</v>
      </c>
      <c r="O13" s="62" t="n">
        <f aca="false">MayYTD!O13-AprYTD!O13</f>
        <v>0</v>
      </c>
      <c r="P13" s="62" t="n">
        <f aca="false">MayYTD!P13-AprYTD!P13</f>
        <v>0</v>
      </c>
      <c r="R13" s="62" t="n">
        <f aca="false">MayYTD!R13-AprYTD!R13</f>
        <v>5.063</v>
      </c>
    </row>
    <row r="14" customFormat="false" ht="12.75" hidden="false" customHeight="true" outlineLevel="4" collapsed="false">
      <c r="A14" s="57" t="s">
        <v>47</v>
      </c>
      <c r="B14" s="58" t="n">
        <f aca="false">D14+R14</f>
        <v>-967.953</v>
      </c>
      <c r="C14" s="58"/>
      <c r="D14" s="62" t="n">
        <f aca="false">SUM(E14:M14)+O14+P14</f>
        <v>-967.953</v>
      </c>
      <c r="E14" s="62" t="n">
        <f aca="false">MayYTD!E14-AprYTD!E14</f>
        <v>-967.953</v>
      </c>
      <c r="F14" s="62" t="n">
        <f aca="false">MayYTD!F14-AprYTD!F14</f>
        <v>0</v>
      </c>
      <c r="G14" s="62" t="n">
        <f aca="false">MayYTD!G14-AprYTD!G14</f>
        <v>0</v>
      </c>
      <c r="H14" s="62" t="n">
        <f aca="false">MayYTD!H14-AprYTD!H14</f>
        <v>0</v>
      </c>
      <c r="I14" s="62" t="n">
        <f aca="false">MayYTD!I14-AprYTD!I14</f>
        <v>0</v>
      </c>
      <c r="J14" s="62" t="n">
        <f aca="false">MayYTD!J14-AprYTD!J14</f>
        <v>0</v>
      </c>
      <c r="K14" s="62" t="n">
        <f aca="false">MayYTD!K14-AprYTD!K14</f>
        <v>0</v>
      </c>
      <c r="L14" s="62" t="n">
        <f aca="false">MayYTD!L14-AprYTD!L14</f>
        <v>0</v>
      </c>
      <c r="M14" s="62" t="n">
        <f aca="false">MayYTD!M14-AprYTD!M14</f>
        <v>0</v>
      </c>
      <c r="N14" s="62" t="n">
        <f aca="false">M14+L14</f>
        <v>0</v>
      </c>
      <c r="O14" s="62" t="n">
        <f aca="false">MayYTD!O14-AprYTD!O14</f>
        <v>-0</v>
      </c>
      <c r="P14" s="62" t="n">
        <f aca="false">MayYTD!P14-AprYTD!P14</f>
        <v>-0</v>
      </c>
      <c r="R14" s="62" t="n">
        <f aca="false">MayYTD!R14-AprYTD!R14</f>
        <v>0</v>
      </c>
    </row>
    <row r="15" customFormat="false" ht="12.75" hidden="false" customHeight="true" outlineLevel="4" collapsed="false">
      <c r="A15" s="57" t="s">
        <v>48</v>
      </c>
      <c r="B15" s="58" t="n">
        <f aca="false">D15+R15</f>
        <v>0</v>
      </c>
      <c r="C15" s="58"/>
      <c r="D15" s="62" t="n">
        <f aca="false">SUM(E15:M15)+O15+P15</f>
        <v>0</v>
      </c>
      <c r="E15" s="62" t="n">
        <f aca="false">MayYTD!E15-AprYTD!E15</f>
        <v>0</v>
      </c>
      <c r="F15" s="62" t="n">
        <f aca="false">MayYTD!F15-AprYTD!F15</f>
        <v>0</v>
      </c>
      <c r="G15" s="62" t="n">
        <f aca="false">MayYTD!G15-AprYTD!G15</f>
        <v>0</v>
      </c>
      <c r="H15" s="62" t="n">
        <f aca="false">MayYTD!H15-AprYTD!H15</f>
        <v>0</v>
      </c>
      <c r="I15" s="62" t="n">
        <f aca="false">MayYTD!I15-AprYTD!I15</f>
        <v>0</v>
      </c>
      <c r="J15" s="62" t="n">
        <f aca="false">MayYTD!J15-AprYTD!J15</f>
        <v>0</v>
      </c>
      <c r="K15" s="62" t="n">
        <f aca="false">MayYTD!K15-AprYTD!K15</f>
        <v>0</v>
      </c>
      <c r="L15" s="62" t="n">
        <f aca="false">MayYTD!L15-AprYTD!L15</f>
        <v>0</v>
      </c>
      <c r="M15" s="62" t="n">
        <f aca="false">MayYTD!M15-AprYTD!M15</f>
        <v>0</v>
      </c>
      <c r="N15" s="62" t="n">
        <f aca="false">M15+L15</f>
        <v>0</v>
      </c>
      <c r="O15" s="62" t="n">
        <f aca="false">MayYTD!O15-AprYTD!O15</f>
        <v>0</v>
      </c>
      <c r="P15" s="62" t="n">
        <f aca="false">MayYTD!P15-AprYTD!P15</f>
        <v>0</v>
      </c>
      <c r="R15" s="62" t="n">
        <f aca="false">MayYTD!R15-AprYTD!R15</f>
        <v>0</v>
      </c>
    </row>
    <row r="16" customFormat="false" ht="12.75" hidden="false" customHeight="true" outlineLevel="4" collapsed="false">
      <c r="A16" s="57" t="s">
        <v>51</v>
      </c>
      <c r="B16" s="58" t="n">
        <f aca="false">D16+R16</f>
        <v>-3670.131</v>
      </c>
      <c r="C16" s="58"/>
      <c r="D16" s="62" t="n">
        <f aca="false">SUM(E16:M16)+O16+P16</f>
        <v>-3452.467</v>
      </c>
      <c r="E16" s="62" t="n">
        <f aca="false">MayYTD!E16-AprYTD!E16</f>
        <v>-366.264</v>
      </c>
      <c r="F16" s="62" t="n">
        <f aca="false">MayYTD!F16-AprYTD!F16</f>
        <v>0</v>
      </c>
      <c r="G16" s="62" t="n">
        <f aca="false">MayYTD!G16-AprYTD!G16</f>
        <v>-2413.202</v>
      </c>
      <c r="H16" s="62" t="n">
        <f aca="false">MayYTD!H16-AprYTD!H16</f>
        <v>-673.001</v>
      </c>
      <c r="I16" s="62" t="n">
        <f aca="false">MayYTD!I16-AprYTD!I16</f>
        <v>0</v>
      </c>
      <c r="J16" s="62" t="n">
        <f aca="false">MayYTD!J16-AprYTD!J16</f>
        <v>0</v>
      </c>
      <c r="K16" s="62" t="n">
        <f aca="false">MayYTD!K16-AprYTD!K16</f>
        <v>0</v>
      </c>
      <c r="L16" s="62" t="n">
        <f aca="false">MayYTD!L16-AprYTD!L16</f>
        <v>0</v>
      </c>
      <c r="M16" s="62" t="n">
        <f aca="false">MayYTD!M16-AprYTD!M16</f>
        <v>0</v>
      </c>
      <c r="N16" s="62" t="n">
        <f aca="false">M16+L16</f>
        <v>0</v>
      </c>
      <c r="O16" s="62" t="n">
        <f aca="false">MayYTD!O16-AprYTD!O16</f>
        <v>0</v>
      </c>
      <c r="P16" s="62" t="n">
        <f aca="false">MayYTD!P16-AprYTD!P16</f>
        <v>0</v>
      </c>
      <c r="R16" s="62" t="n">
        <f aca="false">MayYTD!R16-AprYTD!R16</f>
        <v>-217.664</v>
      </c>
    </row>
    <row r="17" customFormat="false" ht="12.75" hidden="false" customHeight="true" outlineLevel="4" collapsed="false">
      <c r="A17" s="57" t="s">
        <v>52</v>
      </c>
      <c r="B17" s="58" t="n">
        <f aca="false">D17+R17</f>
        <v>2550</v>
      </c>
      <c r="C17" s="58"/>
      <c r="D17" s="62" t="n">
        <f aca="false">SUM(E17:M17)+O17+P17</f>
        <v>816</v>
      </c>
      <c r="E17" s="62" t="n">
        <f aca="false">MayYTD!E17-AprYTD!E17</f>
        <v>0</v>
      </c>
      <c r="F17" s="62" t="n">
        <f aca="false">MayYTD!F17-AprYTD!F17</f>
        <v>0</v>
      </c>
      <c r="G17" s="62" t="n">
        <f aca="false">MayYTD!G17-AprYTD!G17</f>
        <v>0</v>
      </c>
      <c r="H17" s="62" t="n">
        <f aca="false">MayYTD!H17-AprYTD!H17</f>
        <v>816</v>
      </c>
      <c r="I17" s="62" t="n">
        <f aca="false">MayYTD!I17-AprYTD!I17</f>
        <v>0</v>
      </c>
      <c r="J17" s="62" t="n">
        <f aca="false">MayYTD!J17-AprYTD!J17</f>
        <v>0</v>
      </c>
      <c r="K17" s="62" t="n">
        <f aca="false">MayYTD!K17-AprYTD!K17</f>
        <v>0</v>
      </c>
      <c r="L17" s="62" t="n">
        <f aca="false">MayYTD!L17-AprYTD!L17</f>
        <v>0</v>
      </c>
      <c r="M17" s="62" t="n">
        <f aca="false">MayYTD!M17-AprYTD!M17</f>
        <v>0</v>
      </c>
      <c r="N17" s="62" t="n">
        <f aca="false">M17+L17</f>
        <v>0</v>
      </c>
      <c r="O17" s="62" t="n">
        <f aca="false">MayYTD!O17-AprYTD!O17</f>
        <v>0</v>
      </c>
      <c r="P17" s="62" t="n">
        <f aca="false">MayYTD!P17-AprYTD!P17</f>
        <v>0</v>
      </c>
      <c r="R17" s="62" t="n">
        <f aca="false">MayYTD!R17-AprYTD!R17</f>
        <v>1734</v>
      </c>
    </row>
    <row r="18" customFormat="false" ht="12.75" hidden="false" customHeight="true" outlineLevel="4" collapsed="false">
      <c r="A18" s="57" t="s">
        <v>53</v>
      </c>
      <c r="B18" s="63" t="n">
        <f aca="false">D18+R18</f>
        <v>-15731</v>
      </c>
      <c r="C18" s="58"/>
      <c r="D18" s="62" t="n">
        <f aca="false">SUM(E18:M18)+O18+P18</f>
        <v>-15728</v>
      </c>
      <c r="E18" s="62" t="n">
        <f aca="false">MayYTD!E18-AprYTD!E18</f>
        <v>-16775</v>
      </c>
      <c r="F18" s="62" t="n">
        <f aca="false">MayYTD!F18-AprYTD!F18</f>
        <v>41</v>
      </c>
      <c r="G18" s="62" t="n">
        <f aca="false">MayYTD!G18-AprYTD!G18</f>
        <v>0</v>
      </c>
      <c r="H18" s="62" t="n">
        <f aca="false">MayYTD!H18-AprYTD!H18</f>
        <v>0</v>
      </c>
      <c r="I18" s="62" t="n">
        <f aca="false">MayYTD!I18-AprYTD!I18</f>
        <v>1</v>
      </c>
      <c r="J18" s="62" t="n">
        <f aca="false">MayYTD!J18-AprYTD!J18</f>
        <v>-143</v>
      </c>
      <c r="K18" s="62" t="n">
        <f aca="false">MayYTD!K18-AprYTD!K18</f>
        <v>0</v>
      </c>
      <c r="L18" s="62" t="n">
        <f aca="false">MayYTD!L18-AprYTD!L18</f>
        <v>-3171</v>
      </c>
      <c r="M18" s="62" t="n">
        <f aca="false">MayYTD!M18-AprYTD!M18</f>
        <v>0</v>
      </c>
      <c r="N18" s="62" t="n">
        <f aca="false">M18+L18</f>
        <v>-3171</v>
      </c>
      <c r="O18" s="62" t="n">
        <f aca="false">MayYTD!O18-AprYTD!O18</f>
        <v>4328</v>
      </c>
      <c r="P18" s="62" t="n">
        <f aca="false">MayYTD!P18-AprYTD!P18</f>
        <v>-9</v>
      </c>
      <c r="R18" s="62" t="n">
        <f aca="false">MayYTD!R18-AprYTD!R18</f>
        <v>-3</v>
      </c>
    </row>
    <row r="19" customFormat="false" ht="12.75" hidden="false" customHeight="true" outlineLevel="4" collapsed="false">
      <c r="A19" s="57" t="s">
        <v>54</v>
      </c>
      <c r="B19" s="66" t="n">
        <f aca="false">SUM(B10:B18)</f>
        <v>13753.722</v>
      </c>
      <c r="C19" s="58"/>
      <c r="D19" s="66" t="n">
        <f aca="false">SUM(D10:D18)</f>
        <v>12094.383</v>
      </c>
      <c r="E19" s="66" t="n">
        <f aca="false">SUM(E10:E18)</f>
        <v>-1625.09899999996</v>
      </c>
      <c r="F19" s="66" t="n">
        <f aca="false">SUM(F10:F18)</f>
        <v>7134.649</v>
      </c>
      <c r="G19" s="66" t="n">
        <f aca="false">SUM(G10:G18)</f>
        <v>0</v>
      </c>
      <c r="H19" s="66" t="n">
        <f aca="false">SUM(H10:H18)</f>
        <v>818.421</v>
      </c>
      <c r="I19" s="66" t="n">
        <f aca="false">SUM(I10:I18)</f>
        <v>-5.383</v>
      </c>
      <c r="J19" s="66" t="n">
        <f aca="false">SUM(J10:J18)</f>
        <v>46.3490000000006</v>
      </c>
      <c r="K19" s="66" t="n">
        <f aca="false">SUM(K10:K18)</f>
        <v>2.56099999999981</v>
      </c>
      <c r="L19" s="66" t="n">
        <f aca="false">SUM(L10:L18)</f>
        <v>-3173.418</v>
      </c>
      <c r="M19" s="66" t="n">
        <f aca="false">SUM(M10:M18)</f>
        <v>0</v>
      </c>
      <c r="N19" s="66" t="n">
        <f aca="false">SUM(N10:N18)</f>
        <v>-3173.418</v>
      </c>
      <c r="O19" s="66" t="n">
        <f aca="false">SUM(O10:O18)</f>
        <v>8950.856</v>
      </c>
      <c r="P19" s="66" t="n">
        <f aca="false">SUM(P10:P18)</f>
        <v>-54.553</v>
      </c>
      <c r="R19" s="66" t="n">
        <f aca="false">SUM(R10:R18)</f>
        <v>1659.339</v>
      </c>
    </row>
    <row r="20" customFormat="false" ht="12.75" hidden="false" customHeight="true" outlineLevel="4" collapsed="false">
      <c r="A20" s="57"/>
      <c r="B20" s="42"/>
      <c r="C20" s="58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R20" s="42"/>
    </row>
    <row r="21" customFormat="false" ht="12.75" hidden="false" customHeight="true" outlineLevel="4" collapsed="false">
      <c r="A21" s="57" t="s">
        <v>103</v>
      </c>
      <c r="B21" s="58"/>
      <c r="C21" s="58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</row>
    <row r="22" customFormat="false" ht="12.75" hidden="false" customHeight="true" outlineLevel="4" collapsed="false">
      <c r="A22" s="57" t="s">
        <v>56</v>
      </c>
      <c r="B22" s="58" t="n">
        <f aca="false">D22+R22</f>
        <v>-11713</v>
      </c>
      <c r="C22" s="58"/>
      <c r="D22" s="62" t="n">
        <f aca="false">SUM(E22:M22)+O22+P22</f>
        <v>-11499</v>
      </c>
      <c r="E22" s="62" t="n">
        <f aca="false">MayYTD!E22-AprYTD!E22</f>
        <v>-190</v>
      </c>
      <c r="F22" s="62" t="n">
        <f aca="false">MayYTD!F22-AprYTD!F22</f>
        <v>-682</v>
      </c>
      <c r="G22" s="62" t="n">
        <f aca="false">MayYTD!G22-AprYTD!G22</f>
        <v>0</v>
      </c>
      <c r="H22" s="62" t="n">
        <f aca="false">MayYTD!H22-AprYTD!H22</f>
        <v>-32</v>
      </c>
      <c r="I22" s="62" t="n">
        <f aca="false">MayYTD!I22-AprYTD!I22</f>
        <v>2</v>
      </c>
      <c r="J22" s="62" t="n">
        <f aca="false">MayYTD!J22-AprYTD!J22</f>
        <v>-124</v>
      </c>
      <c r="K22" s="62" t="n">
        <f aca="false">MayYTD!K22-AprYTD!K22</f>
        <v>10</v>
      </c>
      <c r="L22" s="62" t="n">
        <f aca="false">MayYTD!L22-AprYTD!L22</f>
        <v>0</v>
      </c>
      <c r="M22" s="62" t="n">
        <f aca="false">MayYTD!M22-AprYTD!M22</f>
        <v>0</v>
      </c>
      <c r="N22" s="62" t="n">
        <f aca="false">M22+L22</f>
        <v>0</v>
      </c>
      <c r="O22" s="62" t="n">
        <f aca="false">MayYTD!O22-AprYTD!O22</f>
        <v>-10484</v>
      </c>
      <c r="P22" s="62" t="n">
        <f aca="false">MayYTD!P22-AprYTD!P22</f>
        <v>1</v>
      </c>
      <c r="R22" s="62" t="n">
        <f aca="false">MayYTD!R22-AprYTD!R22</f>
        <v>-214</v>
      </c>
    </row>
    <row r="23" customFormat="false" ht="12.75" hidden="false" customHeight="true" outlineLevel="4" collapsed="false">
      <c r="A23" s="57" t="s">
        <v>58</v>
      </c>
      <c r="B23" s="58" t="n">
        <f aca="false">D23+R23</f>
        <v>-6750</v>
      </c>
      <c r="C23" s="58"/>
      <c r="D23" s="62" t="n">
        <f aca="false">SUM(E23:M23)+O23+P23</f>
        <v>-6750</v>
      </c>
      <c r="E23" s="62" t="n">
        <f aca="false">MayYTD!E23-AprYTD!E23</f>
        <v>2693</v>
      </c>
      <c r="F23" s="62" t="n">
        <f aca="false">MayYTD!F23-AprYTD!F23</f>
        <v>1274</v>
      </c>
      <c r="G23" s="62" t="n">
        <f aca="false">MayYTD!G23-AprYTD!G23</f>
        <v>0</v>
      </c>
      <c r="H23" s="62" t="n">
        <f aca="false">MayYTD!H23-AprYTD!H23</f>
        <v>0</v>
      </c>
      <c r="I23" s="62" t="n">
        <f aca="false">MayYTD!I23-AprYTD!I23</f>
        <v>8</v>
      </c>
      <c r="J23" s="62" t="n">
        <f aca="false">MayYTD!J23-AprYTD!J23</f>
        <v>-1449</v>
      </c>
      <c r="K23" s="62" t="n">
        <f aca="false">MayYTD!K23-AprYTD!K23</f>
        <v>-73</v>
      </c>
      <c r="L23" s="62" t="n">
        <f aca="false">MayYTD!L23-AprYTD!L23</f>
        <v>3182</v>
      </c>
      <c r="M23" s="62" t="n">
        <f aca="false">MayYTD!M23-AprYTD!M23</f>
        <v>0</v>
      </c>
      <c r="N23" s="62" t="n">
        <f aca="false">M23+L23</f>
        <v>3182</v>
      </c>
      <c r="O23" s="62" t="n">
        <f aca="false">MayYTD!O23-AprYTD!O23</f>
        <v>-12512</v>
      </c>
      <c r="P23" s="62" t="n">
        <f aca="false">MayYTD!P23-AprYTD!P23</f>
        <v>127</v>
      </c>
      <c r="R23" s="62" t="n">
        <f aca="false">MayYTD!R23-AprYTD!R23</f>
        <v>0</v>
      </c>
    </row>
    <row r="24" customFormat="false" ht="12.75" hidden="false" customHeight="true" outlineLevel="4" collapsed="false">
      <c r="A24" s="57" t="s">
        <v>60</v>
      </c>
      <c r="B24" s="58" t="n">
        <f aca="false">D24+R24</f>
        <v>39</v>
      </c>
      <c r="C24" s="58"/>
      <c r="D24" s="62" t="n">
        <f aca="false">SUM(E24:M24)+O24+P24</f>
        <v>39</v>
      </c>
      <c r="E24" s="62" t="n">
        <f aca="false">MayYTD!E24-AprYTD!E24</f>
        <v>26</v>
      </c>
      <c r="F24" s="62" t="n">
        <f aca="false">MayYTD!F24-AprYTD!F24</f>
        <v>13</v>
      </c>
      <c r="G24" s="62" t="n">
        <f aca="false">MayYTD!G24-AprYTD!G24</f>
        <v>0</v>
      </c>
      <c r="H24" s="62" t="n">
        <f aca="false">MayYTD!H24-AprYTD!H24</f>
        <v>0</v>
      </c>
      <c r="I24" s="62" t="n">
        <f aca="false">MayYTD!I24-AprYTD!I24</f>
        <v>0</v>
      </c>
      <c r="J24" s="62" t="n">
        <f aca="false">MayYTD!J24-AprYTD!J24</f>
        <v>0</v>
      </c>
      <c r="K24" s="62" t="n">
        <f aca="false">MayYTD!K24-AprYTD!K24</f>
        <v>0</v>
      </c>
      <c r="L24" s="62" t="n">
        <f aca="false">MayYTD!L24-AprYTD!L24</f>
        <v>0</v>
      </c>
      <c r="M24" s="62" t="n">
        <f aca="false">MayYTD!M24-AprYTD!M24</f>
        <v>0</v>
      </c>
      <c r="N24" s="62" t="n">
        <f aca="false">M24+L24</f>
        <v>0</v>
      </c>
      <c r="O24" s="62" t="n">
        <f aca="false">MayYTD!O24-AprYTD!O24</f>
        <v>0</v>
      </c>
      <c r="P24" s="62" t="n">
        <f aca="false">MayYTD!P24-AprYTD!P24</f>
        <v>0</v>
      </c>
      <c r="R24" s="62" t="n">
        <f aca="false">MayYTD!R24-AprYTD!R24</f>
        <v>0</v>
      </c>
    </row>
    <row r="25" customFormat="false" ht="12.75" hidden="false" customHeight="true" outlineLevel="4" collapsed="false">
      <c r="A25" s="57" t="s">
        <v>61</v>
      </c>
      <c r="B25" s="58" t="n">
        <f aca="false">D25+R25</f>
        <v>1</v>
      </c>
      <c r="C25" s="58"/>
      <c r="D25" s="62" t="n">
        <f aca="false">SUM(E25:M25)+O25+P25</f>
        <v>1</v>
      </c>
      <c r="E25" s="62" t="n">
        <f aca="false">MayYTD!E25-AprYTD!E25</f>
        <v>0</v>
      </c>
      <c r="F25" s="62" t="n">
        <f aca="false">MayYTD!F25-AprYTD!F25</f>
        <v>1</v>
      </c>
      <c r="G25" s="62" t="n">
        <f aca="false">MayYTD!G25-AprYTD!G25</f>
        <v>0</v>
      </c>
      <c r="H25" s="62" t="n">
        <f aca="false">MayYTD!H25-AprYTD!H25</f>
        <v>0</v>
      </c>
      <c r="I25" s="62" t="n">
        <f aca="false">MayYTD!I25-AprYTD!I25</f>
        <v>0</v>
      </c>
      <c r="J25" s="62" t="n">
        <f aca="false">MayYTD!J25-AprYTD!J25</f>
        <v>0</v>
      </c>
      <c r="K25" s="62" t="n">
        <f aca="false">MayYTD!K25-AprYTD!K25</f>
        <v>0</v>
      </c>
      <c r="L25" s="62" t="n">
        <f aca="false">MayYTD!L25-AprYTD!L25</f>
        <v>0</v>
      </c>
      <c r="M25" s="62" t="n">
        <f aca="false">MayYTD!M25-AprYTD!M25</f>
        <v>0</v>
      </c>
      <c r="N25" s="62" t="n">
        <f aca="false">M25+L25</f>
        <v>0</v>
      </c>
      <c r="O25" s="62" t="n">
        <f aca="false">MayYTD!O25-AprYTD!O25</f>
        <v>0</v>
      </c>
      <c r="P25" s="62" t="n">
        <f aca="false">MayYTD!P25-AprYTD!P25</f>
        <v>0</v>
      </c>
      <c r="R25" s="62" t="n">
        <f aca="false">MayYTD!R25-AprYTD!R25</f>
        <v>0</v>
      </c>
    </row>
    <row r="26" customFormat="false" ht="12.75" hidden="false" customHeight="true" outlineLevel="4" collapsed="false">
      <c r="A26" s="57" t="s">
        <v>62</v>
      </c>
      <c r="B26" s="58" t="n">
        <f aca="false">D26+R26</f>
        <v>5517</v>
      </c>
      <c r="C26" s="58"/>
      <c r="D26" s="62" t="n">
        <f aca="false">SUM(E26:M26)+O26+P26</f>
        <v>5516</v>
      </c>
      <c r="E26" s="62" t="n">
        <f aca="false">MayYTD!E26-AprYTD!E26</f>
        <v>3501</v>
      </c>
      <c r="F26" s="62" t="n">
        <f aca="false">MayYTD!F26-AprYTD!F26</f>
        <v>-2633</v>
      </c>
      <c r="G26" s="62" t="n">
        <f aca="false">MayYTD!G26-AprYTD!G26</f>
        <v>0</v>
      </c>
      <c r="H26" s="62" t="n">
        <f aca="false">MayYTD!H26-AprYTD!H26</f>
        <v>214</v>
      </c>
      <c r="I26" s="62" t="n">
        <f aca="false">MayYTD!I26-AprYTD!I26</f>
        <v>0</v>
      </c>
      <c r="J26" s="62" t="n">
        <f aca="false">MayYTD!J26-AprYTD!J26</f>
        <v>47</v>
      </c>
      <c r="K26" s="62" t="n">
        <f aca="false">MayYTD!K26-AprYTD!K26</f>
        <v>0</v>
      </c>
      <c r="L26" s="62" t="n">
        <f aca="false">MayYTD!L26-AprYTD!L26</f>
        <v>0</v>
      </c>
      <c r="M26" s="62" t="n">
        <f aca="false">MayYTD!M26-AprYTD!M26</f>
        <v>0</v>
      </c>
      <c r="N26" s="62" t="n">
        <f aca="false">M26+L26</f>
        <v>0</v>
      </c>
      <c r="O26" s="62" t="n">
        <f aca="false">MayYTD!O26-AprYTD!O26</f>
        <v>4405</v>
      </c>
      <c r="P26" s="62" t="n">
        <f aca="false">MayYTD!P26-AprYTD!P26</f>
        <v>-18</v>
      </c>
      <c r="R26" s="62" t="n">
        <f aca="false">MayYTD!R26-AprYTD!R26</f>
        <v>1</v>
      </c>
    </row>
    <row r="27" customFormat="false" ht="12.75" hidden="false" customHeight="true" outlineLevel="4" collapsed="false">
      <c r="A27" s="57" t="s">
        <v>104</v>
      </c>
      <c r="B27" s="58" t="n">
        <f aca="false">D27+R27</f>
        <v>3297</v>
      </c>
      <c r="C27" s="58"/>
      <c r="D27" s="62" t="n">
        <f aca="false">SUM(E27:M27)+O27+P27</f>
        <v>3300</v>
      </c>
      <c r="E27" s="62" t="n">
        <f aca="false">MayYTD!E27-AprYTD!E27</f>
        <v>3224</v>
      </c>
      <c r="F27" s="62" t="n">
        <f aca="false">MayYTD!F27-AprYTD!F27</f>
        <v>77</v>
      </c>
      <c r="G27" s="62" t="n">
        <f aca="false">MayYTD!G27-AprYTD!G27</f>
        <v>0</v>
      </c>
      <c r="H27" s="62" t="n">
        <f aca="false">MayYTD!H27-AprYTD!H27</f>
        <v>-1</v>
      </c>
      <c r="I27" s="62" t="n">
        <f aca="false">MayYTD!I27-AprYTD!I27</f>
        <v>0</v>
      </c>
      <c r="J27" s="62" t="n">
        <f aca="false">MayYTD!J27-AprYTD!J27</f>
        <v>0</v>
      </c>
      <c r="K27" s="62" t="n">
        <f aca="false">MayYTD!K27-AprYTD!K27</f>
        <v>0</v>
      </c>
      <c r="L27" s="62" t="n">
        <f aca="false">MayYTD!L27-AprYTD!L27</f>
        <v>0</v>
      </c>
      <c r="M27" s="62" t="n">
        <f aca="false">MayYTD!M27-AprYTD!M27</f>
        <v>0</v>
      </c>
      <c r="N27" s="62" t="n">
        <f aca="false">M27+L27</f>
        <v>0</v>
      </c>
      <c r="O27" s="62" t="n">
        <f aca="false">MayYTD!O27-AprYTD!O27</f>
        <v>0</v>
      </c>
      <c r="P27" s="62" t="n">
        <f aca="false">MayYTD!P27-AprYTD!P27</f>
        <v>0</v>
      </c>
      <c r="R27" s="62" t="n">
        <f aca="false">MayYTD!R27-AprYTD!R27</f>
        <v>-3</v>
      </c>
    </row>
    <row r="28" customFormat="false" ht="12.75" hidden="false" customHeight="true" outlineLevel="4" collapsed="false">
      <c r="A28" s="57" t="s">
        <v>64</v>
      </c>
      <c r="B28" s="58" t="n">
        <f aca="false">D28+R28</f>
        <v>-703</v>
      </c>
      <c r="C28" s="58"/>
      <c r="D28" s="62" t="n">
        <f aca="false">SUM(E28:M28)+O28+P28</f>
        <v>-757</v>
      </c>
      <c r="E28" s="62" t="n">
        <f aca="false">MayYTD!E28-AprYTD!E28</f>
        <v>-3440</v>
      </c>
      <c r="F28" s="62" t="n">
        <f aca="false">MayYTD!F28-AprYTD!F28</f>
        <v>-44</v>
      </c>
      <c r="G28" s="62" t="n">
        <f aca="false">MayYTD!G28-AprYTD!G28</f>
        <v>0</v>
      </c>
      <c r="H28" s="62" t="n">
        <f aca="false">MayYTD!H28-AprYTD!H28</f>
        <v>0</v>
      </c>
      <c r="I28" s="62" t="n">
        <f aca="false">MayYTD!I28-AprYTD!I28</f>
        <v>0</v>
      </c>
      <c r="J28" s="62" t="n">
        <f aca="false">MayYTD!J28-AprYTD!J28</f>
        <v>0</v>
      </c>
      <c r="K28" s="62" t="n">
        <f aca="false">MayYTD!K28-AprYTD!K28</f>
        <v>0</v>
      </c>
      <c r="L28" s="62" t="n">
        <f aca="false">MayYTD!L28-AprYTD!L28</f>
        <v>0</v>
      </c>
      <c r="M28" s="62" t="n">
        <f aca="false">MayYTD!M28-AprYTD!M28</f>
        <v>2735</v>
      </c>
      <c r="N28" s="62" t="n">
        <f aca="false">M28+L28</f>
        <v>2735</v>
      </c>
      <c r="O28" s="62" t="n">
        <f aca="false">MayYTD!O28-AprYTD!O28</f>
        <v>-8</v>
      </c>
      <c r="P28" s="62" t="n">
        <f aca="false">MayYTD!P28-AprYTD!P28</f>
        <v>0</v>
      </c>
      <c r="R28" s="62" t="n">
        <f aca="false">+MayYTD!R28-AprYTD!R28</f>
        <v>54</v>
      </c>
    </row>
    <row r="29" customFormat="false" ht="12.75" hidden="false" customHeight="true" outlineLevel="4" collapsed="false">
      <c r="A29" s="57" t="s">
        <v>65</v>
      </c>
      <c r="B29" s="58" t="n">
        <f aca="false">D29+R29</f>
        <v>-1424</v>
      </c>
      <c r="C29" s="58"/>
      <c r="D29" s="62" t="n">
        <f aca="false">SUM(E29:M29)+O29+P29</f>
        <v>-1424</v>
      </c>
      <c r="E29" s="62" t="n">
        <f aca="false">MayYTD!E29-AprYTD!E29</f>
        <v>-563</v>
      </c>
      <c r="F29" s="62" t="n">
        <f aca="false">MayYTD!F29-AprYTD!F29</f>
        <v>-861</v>
      </c>
      <c r="G29" s="62" t="n">
        <f aca="false">MayYTD!G29-AprYTD!G29</f>
        <v>0</v>
      </c>
      <c r="H29" s="62" t="n">
        <f aca="false">MayYTD!H29-AprYTD!H29</f>
        <v>0</v>
      </c>
      <c r="I29" s="62" t="n">
        <f aca="false">MayYTD!I29-AprYTD!I29</f>
        <v>0</v>
      </c>
      <c r="J29" s="62" t="n">
        <f aca="false">MayYTD!J29-AprYTD!J29</f>
        <v>0</v>
      </c>
      <c r="K29" s="62" t="n">
        <f aca="false">MayYTD!K29-AprYTD!K29</f>
        <v>0</v>
      </c>
      <c r="L29" s="62" t="n">
        <f aca="false">MayYTD!L29-AprYTD!L29</f>
        <v>0</v>
      </c>
      <c r="M29" s="62" t="n">
        <f aca="false">MayYTD!M29-AprYTD!M29</f>
        <v>0</v>
      </c>
      <c r="N29" s="62" t="n">
        <f aca="false">M29+L29</f>
        <v>0</v>
      </c>
      <c r="O29" s="62" t="n">
        <f aca="false">MayYTD!O29-AprYTD!O29</f>
        <v>0</v>
      </c>
      <c r="P29" s="62" t="n">
        <f aca="false">MayYTD!P29-AprYTD!P29</f>
        <v>0</v>
      </c>
      <c r="R29" s="62" t="n">
        <f aca="false">+MayYTD!R29-AprYTD!R29</f>
        <v>0</v>
      </c>
    </row>
    <row r="30" customFormat="false" ht="12.75" hidden="false" customHeight="true" outlineLevel="4" collapsed="false">
      <c r="A30" s="57" t="s">
        <v>66</v>
      </c>
      <c r="B30" s="63" t="n">
        <f aca="false">D30+R30</f>
        <v>-3234</v>
      </c>
      <c r="C30" s="58"/>
      <c r="D30" s="62" t="n">
        <f aca="false">SUM(E30:M30)+O30+P30</f>
        <v>-3234</v>
      </c>
      <c r="E30" s="62" t="n">
        <f aca="false">MayYTD!E30-AprYTD!E30</f>
        <v>-3941</v>
      </c>
      <c r="F30" s="62" t="n">
        <f aca="false">MayYTD!F30-AprYTD!F30</f>
        <v>209</v>
      </c>
      <c r="G30" s="62" t="n">
        <f aca="false">MayYTD!G30-AprYTD!G30</f>
        <v>0</v>
      </c>
      <c r="H30" s="62" t="n">
        <f aca="false">MayYTD!H30-AprYTD!H30</f>
        <v>614</v>
      </c>
      <c r="I30" s="62" t="n">
        <f aca="false">MayYTD!I30-AprYTD!I30</f>
        <v>0</v>
      </c>
      <c r="J30" s="62" t="n">
        <f aca="false">MayYTD!J30-AprYTD!J30</f>
        <v>0</v>
      </c>
      <c r="K30" s="62" t="n">
        <f aca="false">MayYTD!K30-AprYTD!K30</f>
        <v>1</v>
      </c>
      <c r="L30" s="62" t="n">
        <f aca="false">MayYTD!L30-AprYTD!L30</f>
        <v>0</v>
      </c>
      <c r="M30" s="62" t="n">
        <f aca="false">MayYTD!M30-AprYTD!M30</f>
        <v>0</v>
      </c>
      <c r="N30" s="62" t="n">
        <f aca="false">M30+L30</f>
        <v>0</v>
      </c>
      <c r="O30" s="62" t="n">
        <f aca="false">MayYTD!O30-AprYTD!O30</f>
        <v>-117</v>
      </c>
      <c r="P30" s="62" t="n">
        <f aca="false">MayYTD!P30-AprYTD!P30</f>
        <v>0</v>
      </c>
      <c r="R30" s="62" t="n">
        <f aca="false">MayYTD!R30-AprYTD!R30</f>
        <v>0</v>
      </c>
    </row>
    <row r="31" customFormat="false" ht="12.75" hidden="false" customHeight="true" outlineLevel="4" collapsed="false">
      <c r="A31" s="57" t="s">
        <v>67</v>
      </c>
      <c r="B31" s="67" t="n">
        <f aca="false">SUM(B21:B30)</f>
        <v>-14970</v>
      </c>
      <c r="C31" s="68"/>
      <c r="D31" s="67" t="n">
        <f aca="false">SUM(D21:D30)</f>
        <v>-14808</v>
      </c>
      <c r="E31" s="67" t="n">
        <f aca="false">SUM(E21:E30)</f>
        <v>1310</v>
      </c>
      <c r="F31" s="67" t="n">
        <f aca="false">SUM(F21:F30)</f>
        <v>-2646</v>
      </c>
      <c r="G31" s="67" t="n">
        <f aca="false">SUM(G21:G30)</f>
        <v>0</v>
      </c>
      <c r="H31" s="67" t="n">
        <f aca="false">SUM(H21:H30)</f>
        <v>795</v>
      </c>
      <c r="I31" s="67" t="n">
        <f aca="false">SUM(I21:I30)</f>
        <v>10</v>
      </c>
      <c r="J31" s="67" t="n">
        <f aca="false">SUM(J21:J30)</f>
        <v>-1526</v>
      </c>
      <c r="K31" s="67" t="n">
        <f aca="false">SUM(K21:K30)</f>
        <v>-62</v>
      </c>
      <c r="L31" s="67" t="n">
        <f aca="false">SUM(L21:L30)</f>
        <v>3182</v>
      </c>
      <c r="M31" s="67" t="n">
        <f aca="false">SUM(M21:M30)</f>
        <v>2735</v>
      </c>
      <c r="N31" s="67" t="n">
        <f aca="false">SUM(N21:N30)</f>
        <v>5917</v>
      </c>
      <c r="O31" s="67" t="n">
        <f aca="false">SUM(O21:O30)</f>
        <v>-18716</v>
      </c>
      <c r="P31" s="67" t="n">
        <f aca="false">SUM(P21:P30)</f>
        <v>110</v>
      </c>
      <c r="R31" s="67" t="n">
        <f aca="false">SUM(R21:R30)</f>
        <v>-162</v>
      </c>
    </row>
    <row r="32" customFormat="false" ht="12.75" hidden="false" customHeight="true" outlineLevel="4" collapsed="false">
      <c r="A32" s="57"/>
      <c r="B32" s="69"/>
      <c r="C32" s="68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42"/>
      <c r="R32" s="69"/>
    </row>
    <row r="33" customFormat="false" ht="12.75" hidden="false" customHeight="true" outlineLevel="3" collapsed="false">
      <c r="A33" s="57" t="s">
        <v>68</v>
      </c>
      <c r="B33" s="70" t="n">
        <f aca="false">B19+B31</f>
        <v>-1216.27799999996</v>
      </c>
      <c r="C33" s="58"/>
      <c r="D33" s="70" t="n">
        <f aca="false">D19+D31</f>
        <v>-2713.61699999996</v>
      </c>
      <c r="E33" s="70" t="n">
        <f aca="false">E19+E31</f>
        <v>-315.098999999962</v>
      </c>
      <c r="F33" s="70" t="n">
        <f aca="false">F19+F31</f>
        <v>4488.649</v>
      </c>
      <c r="G33" s="70" t="n">
        <f aca="false">G19+G31</f>
        <v>0</v>
      </c>
      <c r="H33" s="70" t="n">
        <f aca="false">H19+H31</f>
        <v>1613.421</v>
      </c>
      <c r="I33" s="70" t="n">
        <f aca="false">I19+I31</f>
        <v>4.617</v>
      </c>
      <c r="J33" s="70" t="n">
        <f aca="false">J19+J31</f>
        <v>-1479.651</v>
      </c>
      <c r="K33" s="70" t="n">
        <f aca="false">K19+K31</f>
        <v>-59.4390000000002</v>
      </c>
      <c r="L33" s="70" t="n">
        <f aca="false">L19+L31</f>
        <v>8.58199999999988</v>
      </c>
      <c r="M33" s="70" t="n">
        <f aca="false">M19+M31</f>
        <v>2735</v>
      </c>
      <c r="N33" s="70" t="n">
        <f aca="false">N19+N31</f>
        <v>2743.582</v>
      </c>
      <c r="O33" s="70" t="n">
        <f aca="false">O19+O31</f>
        <v>-9765.144</v>
      </c>
      <c r="P33" s="70" t="n">
        <f aca="false">P19+P31</f>
        <v>55.447</v>
      </c>
      <c r="R33" s="70" t="n">
        <f aca="false">R19+R31</f>
        <v>1497.339</v>
      </c>
    </row>
    <row r="34" customFormat="false" ht="12.75" hidden="false" customHeight="true" outlineLevel="3" collapsed="false">
      <c r="B34" s="58"/>
      <c r="C34" s="58"/>
    </row>
    <row r="35" customFormat="false" ht="12.75" hidden="false" customHeight="true" outlineLevel="3" collapsed="false">
      <c r="A35" s="61" t="s">
        <v>69</v>
      </c>
      <c r="B35" s="58"/>
      <c r="C35" s="58"/>
    </row>
    <row r="36" customFormat="false" ht="12.75" hidden="false" customHeight="true" outlineLevel="4" collapsed="false">
      <c r="A36" s="57" t="s">
        <v>70</v>
      </c>
      <c r="B36" s="58" t="n">
        <f aca="false">D36+R36</f>
        <v>-1829</v>
      </c>
      <c r="C36" s="58"/>
      <c r="D36" s="62" t="n">
        <f aca="false">SUM(E36:M36)+O36+P36</f>
        <v>-1829</v>
      </c>
      <c r="E36" s="62" t="n">
        <f aca="false">MayYTD!E36-AprYTD!E36</f>
        <v>-1829</v>
      </c>
      <c r="F36" s="62" t="n">
        <f aca="false">MayYTD!F36-AprYTD!F36</f>
        <v>0</v>
      </c>
      <c r="G36" s="62" t="n">
        <f aca="false">MayYTD!G36-AprYTD!G36</f>
        <v>0</v>
      </c>
      <c r="H36" s="62" t="n">
        <f aca="false">MayYTD!H36-AprYTD!H36</f>
        <v>0</v>
      </c>
      <c r="I36" s="62" t="n">
        <f aca="false">MayYTD!I36-AprYTD!I36</f>
        <v>0</v>
      </c>
      <c r="J36" s="62" t="n">
        <f aca="false">MayYTD!J36-AprYTD!J36</f>
        <v>0</v>
      </c>
      <c r="K36" s="62" t="n">
        <f aca="false">MayYTD!K36-AprYTD!K36</f>
        <v>0</v>
      </c>
      <c r="L36" s="62" t="n">
        <f aca="false">MayYTD!L36-AprYTD!L36</f>
        <v>0</v>
      </c>
      <c r="M36" s="62" t="n">
        <f aca="false">MayYTD!M36-AprYTD!M36</f>
        <v>0</v>
      </c>
      <c r="N36" s="76"/>
      <c r="O36" s="62" t="n">
        <f aca="false">MayYTD!O36-AprYTD!O36</f>
        <v>0</v>
      </c>
      <c r="P36" s="62" t="n">
        <f aca="false">MayYTD!P36-AprYTD!P36</f>
        <v>0</v>
      </c>
    </row>
    <row r="37" customFormat="false" ht="12.75" hidden="false" customHeight="true" outlineLevel="4" collapsed="false">
      <c r="A37" s="57" t="s">
        <v>71</v>
      </c>
      <c r="B37" s="58" t="n">
        <f aca="false">D37+R37</f>
        <v>-6867</v>
      </c>
      <c r="C37" s="58"/>
      <c r="D37" s="62" t="n">
        <f aca="false">SUM(E37:M37)+O37+P37</f>
        <v>-6867</v>
      </c>
      <c r="E37" s="62" t="n">
        <f aca="false">MayYTD!E37-AprYTD!E37</f>
        <v>-4188</v>
      </c>
      <c r="F37" s="62" t="n">
        <f aca="false">MayYTD!F37-AprYTD!F37</f>
        <v>-2679</v>
      </c>
      <c r="G37" s="62" t="n">
        <f aca="false">MayYTD!G37-AprYTD!G37</f>
        <v>0</v>
      </c>
      <c r="H37" s="62" t="n">
        <f aca="false">MayYTD!H37-AprYTD!H37</f>
        <v>0</v>
      </c>
      <c r="I37" s="62" t="n">
        <f aca="false">MayYTD!I37-AprYTD!I37</f>
        <v>0</v>
      </c>
      <c r="J37" s="62" t="n">
        <f aca="false">MayYTD!J37-AprYTD!J37</f>
        <v>0</v>
      </c>
      <c r="K37" s="62" t="n">
        <f aca="false">MayYTD!K37-AprYTD!K37</f>
        <v>0</v>
      </c>
      <c r="L37" s="62" t="n">
        <f aca="false">MayYTD!L37-AprYTD!L37</f>
        <v>0</v>
      </c>
      <c r="M37" s="62" t="n">
        <f aca="false">MayYTD!M37-AprYTD!M37</f>
        <v>0</v>
      </c>
      <c r="N37" s="62" t="n">
        <f aca="false">M37+L37</f>
        <v>0</v>
      </c>
      <c r="O37" s="62" t="n">
        <f aca="false">MayYTD!O37-AprYTD!O37</f>
        <v>0</v>
      </c>
      <c r="P37" s="62" t="n">
        <f aca="false">MayYTD!P37-AprYTD!P37</f>
        <v>0</v>
      </c>
    </row>
    <row r="38" customFormat="false" ht="12.75" hidden="false" customHeight="true" outlineLevel="4" collapsed="false">
      <c r="A38" s="57" t="s">
        <v>105</v>
      </c>
      <c r="B38" s="58" t="n">
        <f aca="false">D38+R38</f>
        <v>9249</v>
      </c>
      <c r="C38" s="58"/>
      <c r="D38" s="62" t="n">
        <f aca="false">SUM(E38:M38)+O38+P38</f>
        <v>9249</v>
      </c>
      <c r="E38" s="62" t="n">
        <f aca="false">MayYTD!E38-AprYTD!E38</f>
        <v>9410</v>
      </c>
      <c r="F38" s="62" t="n">
        <f aca="false">MayYTD!F38-AprYTD!F38</f>
        <v>-161</v>
      </c>
      <c r="G38" s="62" t="n">
        <f aca="false">MayYTD!G38-AprYTD!G38</f>
        <v>0</v>
      </c>
      <c r="H38" s="62" t="n">
        <f aca="false">MayYTD!H38-AprYTD!H38</f>
        <v>0</v>
      </c>
      <c r="I38" s="62" t="n">
        <f aca="false">MayYTD!I38-AprYTD!I38</f>
        <v>0</v>
      </c>
      <c r="J38" s="62" t="n">
        <f aca="false">MayYTD!J38-AprYTD!J38</f>
        <v>0</v>
      </c>
      <c r="K38" s="62" t="n">
        <f aca="false">MayYTD!K38-AprYTD!K38</f>
        <v>0</v>
      </c>
      <c r="L38" s="62" t="n">
        <f aca="false">MayYTD!L38-AprYTD!L38</f>
        <v>0</v>
      </c>
      <c r="M38" s="62" t="n">
        <f aca="false">MayYTD!M38-AprYTD!M38</f>
        <v>0</v>
      </c>
      <c r="N38" s="62" t="n">
        <f aca="false">M38+L38</f>
        <v>0</v>
      </c>
      <c r="O38" s="62" t="n">
        <f aca="false">MayYTD!O38-AprYTD!O38</f>
        <v>0</v>
      </c>
      <c r="P38" s="62" t="n">
        <f aca="false">MayYTD!P38-AprYTD!P38</f>
        <v>0</v>
      </c>
    </row>
    <row r="39" customFormat="false" ht="12.75" hidden="false" customHeight="true" outlineLevel="4" collapsed="false">
      <c r="A39" s="57" t="s">
        <v>106</v>
      </c>
      <c r="B39" s="58" t="n">
        <f aca="false">D39+R39</f>
        <v>-23000</v>
      </c>
      <c r="C39" s="58"/>
      <c r="D39" s="62" t="n">
        <f aca="false">SUM(E39:P39)</f>
        <v>0</v>
      </c>
      <c r="E39" s="62" t="n">
        <f aca="false">MayYTD!E39-AprYTD!E39</f>
        <v>0</v>
      </c>
      <c r="F39" s="62" t="n">
        <f aca="false">MayYTD!F39-AprYTD!F39</f>
        <v>0</v>
      </c>
      <c r="G39" s="62" t="n">
        <f aca="false">MayYTD!G39-AprYTD!G39</f>
        <v>0</v>
      </c>
      <c r="H39" s="62" t="n">
        <f aca="false">MayYTD!H39-AprYTD!H39</f>
        <v>0</v>
      </c>
      <c r="I39" s="62" t="n">
        <f aca="false">MayYTD!I39-AprYTD!I39</f>
        <v>0</v>
      </c>
      <c r="J39" s="62" t="n">
        <f aca="false">MayYTD!J39-AprYTD!J39</f>
        <v>0</v>
      </c>
      <c r="K39" s="62" t="n">
        <f aca="false">MayYTD!K39-AprYTD!K39</f>
        <v>0</v>
      </c>
      <c r="L39" s="62" t="n">
        <f aca="false">MayYTD!L39-AprYTD!L39</f>
        <v>0</v>
      </c>
      <c r="M39" s="62" t="n">
        <f aca="false">MayYTD!M39-AprYTD!M39</f>
        <v>0</v>
      </c>
      <c r="N39" s="62" t="n">
        <f aca="false">M39+L39</f>
        <v>0</v>
      </c>
      <c r="O39" s="62" t="n">
        <f aca="false">MayYTD!O39-AprYTD!O39</f>
        <v>0</v>
      </c>
      <c r="P39" s="62" t="n">
        <f aca="false">MayYTD!P39-AprYTD!P39</f>
        <v>0</v>
      </c>
      <c r="R39" s="62" t="n">
        <f aca="false">MayYTD!R39-AprYTD!R39</f>
        <v>-23000</v>
      </c>
    </row>
    <row r="40" customFormat="false" ht="12.75" hidden="false" customHeight="true" outlineLevel="4" collapsed="false">
      <c r="A40" s="57" t="s">
        <v>76</v>
      </c>
      <c r="B40" s="58" t="n">
        <f aca="false">D40+R40</f>
        <v>0</v>
      </c>
      <c r="C40" s="58"/>
      <c r="D40" s="62" t="n">
        <f aca="false">SUM(E40:P40)</f>
        <v>0</v>
      </c>
      <c r="E40" s="62" t="n">
        <f aca="false">MayYTD!E40-AprYTD!E40</f>
        <v>0</v>
      </c>
      <c r="F40" s="62" t="n">
        <f aca="false">MayYTD!F40-AprYTD!F40</f>
        <v>0</v>
      </c>
      <c r="G40" s="62" t="n">
        <f aca="false">MayYTD!G40-AprYTD!G40</f>
        <v>0</v>
      </c>
      <c r="H40" s="62" t="n">
        <f aca="false">MayYTD!H40-AprYTD!H40</f>
        <v>0</v>
      </c>
      <c r="I40" s="62" t="n">
        <f aca="false">MayYTD!I40-AprYTD!I40</f>
        <v>0</v>
      </c>
      <c r="J40" s="62" t="n">
        <f aca="false">MayYTD!J40-AprYTD!J40</f>
        <v>0</v>
      </c>
      <c r="K40" s="62" t="n">
        <f aca="false">MayYTD!K40-AprYTD!K40</f>
        <v>0</v>
      </c>
      <c r="L40" s="62" t="n">
        <f aca="false">MayYTD!L40-AprYTD!L40</f>
        <v>0</v>
      </c>
      <c r="M40" s="62" t="n">
        <f aca="false">MayYTD!M40-AprYTD!M40</f>
        <v>0</v>
      </c>
      <c r="N40" s="62" t="n">
        <f aca="false">M40+L40</f>
        <v>0</v>
      </c>
      <c r="O40" s="62" t="n">
        <f aca="false">MayYTD!O40-AprYTD!O40</f>
        <v>0</v>
      </c>
      <c r="P40" s="62" t="n">
        <f aca="false">MayYTD!P40-AprYTD!P40</f>
        <v>0</v>
      </c>
      <c r="R40" s="62" t="n">
        <f aca="false">MayYTD!R40-AprYTD!R40</f>
        <v>0</v>
      </c>
    </row>
    <row r="41" customFormat="false" ht="12.75" hidden="false" customHeight="true" outlineLevel="4" collapsed="false">
      <c r="A41" s="57" t="s">
        <v>77</v>
      </c>
      <c r="B41" s="63" t="n">
        <f aca="false">D41+R41</f>
        <v>1836</v>
      </c>
      <c r="C41" s="58"/>
      <c r="D41" s="64" t="n">
        <f aca="false">SUM(E41:M41)+O41+P41</f>
        <v>1836</v>
      </c>
      <c r="E41" s="64" t="n">
        <f aca="false">MayYTD!E41-AprYTD!E41</f>
        <v>1836</v>
      </c>
      <c r="F41" s="64" t="n">
        <f aca="false">MayYTD!F41-AprYTD!F41</f>
        <v>0</v>
      </c>
      <c r="G41" s="64" t="n">
        <f aca="false">MayYTD!G41-AprYTD!G41</f>
        <v>0</v>
      </c>
      <c r="H41" s="64" t="n">
        <f aca="false">MayYTD!H41-AprYTD!H41</f>
        <v>0</v>
      </c>
      <c r="I41" s="64" t="n">
        <f aca="false">MayYTD!I41-AprYTD!I41</f>
        <v>0</v>
      </c>
      <c r="J41" s="64" t="n">
        <f aca="false">MayYTD!J41-AprYTD!J41</f>
        <v>0</v>
      </c>
      <c r="K41" s="64" t="n">
        <f aca="false">MayYTD!K41-AprYTD!K41</f>
        <v>0</v>
      </c>
      <c r="L41" s="64" t="n">
        <f aca="false">MayYTD!L41-AprYTD!L41</f>
        <v>0</v>
      </c>
      <c r="M41" s="64" t="n">
        <f aca="false">MayYTD!M41-AprYTD!M41</f>
        <v>0</v>
      </c>
      <c r="N41" s="64" t="n">
        <f aca="false">M41+L41</f>
        <v>0</v>
      </c>
      <c r="O41" s="64" t="n">
        <f aca="false">MayYTD!O41-AprYTD!O41</f>
        <v>0</v>
      </c>
      <c r="P41" s="64" t="n">
        <f aca="false">MayYTD!P41-AprYTD!P41</f>
        <v>0</v>
      </c>
      <c r="R41" s="50"/>
    </row>
    <row r="42" customFormat="false" ht="12.75" hidden="false" customHeight="true" outlineLevel="3" collapsed="false">
      <c r="A42" s="57" t="s">
        <v>78</v>
      </c>
      <c r="B42" s="70" t="n">
        <f aca="false">SUM(B36:B41)</f>
        <v>-20611</v>
      </c>
      <c r="C42" s="71" t="n">
        <f aca="false">SUM(C36:C41)</f>
        <v>0</v>
      </c>
      <c r="D42" s="70" t="n">
        <f aca="false">SUM(D36:D41)</f>
        <v>2389</v>
      </c>
      <c r="E42" s="70" t="n">
        <f aca="false">SUM(E36:E41)</f>
        <v>5229</v>
      </c>
      <c r="F42" s="70" t="n">
        <f aca="false">SUM(F36:F41)</f>
        <v>-2840</v>
      </c>
      <c r="G42" s="70" t="n">
        <f aca="false">SUM(G36:G41)</f>
        <v>0</v>
      </c>
      <c r="H42" s="70" t="n">
        <f aca="false">SUM(H36:H41)</f>
        <v>0</v>
      </c>
      <c r="I42" s="70" t="n">
        <f aca="false">SUM(I36:I41)</f>
        <v>0</v>
      </c>
      <c r="J42" s="70" t="n">
        <f aca="false">SUM(J36:J41)</f>
        <v>0</v>
      </c>
      <c r="K42" s="70" t="n">
        <f aca="false">SUM(K36:K41)</f>
        <v>0</v>
      </c>
      <c r="L42" s="70" t="n">
        <f aca="false">SUM(L36:L41)</f>
        <v>0</v>
      </c>
      <c r="M42" s="70" t="n">
        <f aca="false">SUM(M36:M41)</f>
        <v>0</v>
      </c>
      <c r="N42" s="70" t="n">
        <f aca="false">SUM(N36:N41)</f>
        <v>0</v>
      </c>
      <c r="O42" s="70" t="n">
        <f aca="false">SUM(O36:O41)</f>
        <v>0</v>
      </c>
      <c r="P42" s="70" t="n">
        <f aca="false">SUM(P36:P41)</f>
        <v>0</v>
      </c>
      <c r="R42" s="66" t="n">
        <f aca="false">SUM(R36:R41)</f>
        <v>-23000</v>
      </c>
    </row>
    <row r="43" customFormat="false" ht="12.75" hidden="false" customHeight="true" outlineLevel="3" collapsed="false">
      <c r="B43" s="58"/>
      <c r="C43" s="58"/>
    </row>
    <row r="44" customFormat="false" ht="12.75" hidden="false" customHeight="true" outlineLevel="3" collapsed="false">
      <c r="A44" s="61" t="s">
        <v>79</v>
      </c>
      <c r="B44" s="58"/>
      <c r="C44" s="58"/>
    </row>
    <row r="45" customFormat="false" ht="12.75" hidden="false" customHeight="true" outlineLevel="4" collapsed="false">
      <c r="A45" s="57" t="s">
        <v>80</v>
      </c>
      <c r="B45" s="58" t="n">
        <f aca="false">D45+R45</f>
        <v>0</v>
      </c>
      <c r="C45" s="58"/>
      <c r="D45" s="62" t="n">
        <f aca="false">SUM(E45:P45)</f>
        <v>0</v>
      </c>
      <c r="E45" s="62" t="n">
        <f aca="false">MayYTD!E45-AprYTD!E45</f>
        <v>0</v>
      </c>
      <c r="F45" s="62" t="n">
        <f aca="false">MayYTD!F45-AprYTD!F45</f>
        <v>0</v>
      </c>
      <c r="G45" s="62" t="n">
        <f aca="false">MayYTD!G45-AprYTD!G45</f>
        <v>0</v>
      </c>
      <c r="H45" s="62" t="n">
        <f aca="false">MayYTD!H45-AprYTD!H45</f>
        <v>0</v>
      </c>
      <c r="I45" s="62" t="n">
        <f aca="false">MayYTD!I45-AprYTD!I45</f>
        <v>0</v>
      </c>
      <c r="J45" s="62" t="n">
        <f aca="false">MayYTD!J45-AprYTD!J45</f>
        <v>0</v>
      </c>
      <c r="K45" s="62" t="n">
        <f aca="false">MayYTD!K45-AprYTD!K45</f>
        <v>0</v>
      </c>
      <c r="L45" s="62" t="n">
        <f aca="false">MayYTD!L45-AprYTD!L45</f>
        <v>0</v>
      </c>
      <c r="M45" s="62" t="n">
        <f aca="false">MayYTD!M45-AprYTD!M45</f>
        <v>0</v>
      </c>
      <c r="N45" s="62"/>
      <c r="O45" s="62" t="n">
        <f aca="false">MayYTD!O45-AprYTD!O45</f>
        <v>0</v>
      </c>
      <c r="P45" s="62" t="n">
        <f aca="false">MayYTD!P45-AprYTD!P45</f>
        <v>0</v>
      </c>
    </row>
    <row r="46" customFormat="false" ht="12.75" hidden="false" customHeight="true" outlineLevel="4" collapsed="false">
      <c r="A46" s="57" t="s">
        <v>81</v>
      </c>
      <c r="B46" s="58" t="n">
        <f aca="false">D46+R46</f>
        <v>0</v>
      </c>
      <c r="C46" s="58"/>
      <c r="D46" s="62" t="n">
        <f aca="false">SUM(E46:M46)+O46+P46</f>
        <v>0</v>
      </c>
      <c r="E46" s="62" t="n">
        <f aca="false">MayYTD!E46-AprYTD!E46</f>
        <v>0</v>
      </c>
      <c r="F46" s="62" t="n">
        <f aca="false">MayYTD!F46-AprYTD!F46</f>
        <v>0</v>
      </c>
      <c r="G46" s="62" t="n">
        <f aca="false">MayYTD!G46-AprYTD!G46</f>
        <v>0</v>
      </c>
      <c r="H46" s="62" t="n">
        <f aca="false">MayYTD!H46-AprYTD!H46</f>
        <v>0</v>
      </c>
      <c r="I46" s="62" t="n">
        <f aca="false">MayYTD!I46-AprYTD!I46</f>
        <v>0</v>
      </c>
      <c r="J46" s="62" t="n">
        <f aca="false">MayYTD!J46-AprYTD!J46</f>
        <v>0</v>
      </c>
      <c r="K46" s="62" t="n">
        <f aca="false">MayYTD!K46-AprYTD!K46</f>
        <v>0</v>
      </c>
      <c r="L46" s="62" t="n">
        <f aca="false">MayYTD!L46-AprYTD!L46</f>
        <v>0</v>
      </c>
      <c r="M46" s="62" t="n">
        <f aca="false">MayYTD!M46-AprYTD!M46</f>
        <v>0</v>
      </c>
      <c r="N46" s="62"/>
      <c r="O46" s="62" t="n">
        <f aca="false">MayYTD!O46-AprYTD!O46</f>
        <v>0</v>
      </c>
      <c r="P46" s="62" t="n">
        <f aca="false">MayYTD!P46-AprYTD!P46</f>
        <v>0</v>
      </c>
    </row>
    <row r="47" customFormat="false" ht="12.75" hidden="false" customHeight="true" outlineLevel="4" collapsed="false">
      <c r="A47" s="57" t="s">
        <v>83</v>
      </c>
      <c r="B47" s="58" t="n">
        <f aca="false">D47+R47</f>
        <v>-23000</v>
      </c>
      <c r="C47" s="58"/>
      <c r="D47" s="62" t="n">
        <f aca="false">SUM(E47:P47)</f>
        <v>-23000</v>
      </c>
      <c r="E47" s="62" t="n">
        <f aca="false">MayYTD!E47-AprYTD!E47</f>
        <v>0</v>
      </c>
      <c r="F47" s="62" t="n">
        <f aca="false">MayYTD!F47-AprYTD!F47</f>
        <v>-23000</v>
      </c>
      <c r="G47" s="62" t="n">
        <f aca="false">MayYTD!G47-AprYTD!G47</f>
        <v>0</v>
      </c>
      <c r="H47" s="62" t="n">
        <f aca="false">MayYTD!H47-AprYTD!H47</f>
        <v>0</v>
      </c>
      <c r="I47" s="62" t="n">
        <f aca="false">MayYTD!I47-AprYTD!I47</f>
        <v>0</v>
      </c>
      <c r="J47" s="62" t="n">
        <f aca="false">MayYTD!J47-AprYTD!J47</f>
        <v>0</v>
      </c>
      <c r="K47" s="62" t="n">
        <f aca="false">MayYTD!K47-AprYTD!K47</f>
        <v>0</v>
      </c>
      <c r="L47" s="62" t="n">
        <f aca="false">MayYTD!L47-AprYTD!L47</f>
        <v>0</v>
      </c>
      <c r="M47" s="62" t="n">
        <f aca="false">MayYTD!M47-AprYTD!M47</f>
        <v>0</v>
      </c>
      <c r="N47" s="62"/>
      <c r="O47" s="62" t="n">
        <f aca="false">MayYTD!O47-AprYTD!O47</f>
        <v>0</v>
      </c>
      <c r="P47" s="62" t="n">
        <f aca="false">MayYTD!P47-AprYTD!P47</f>
        <v>0</v>
      </c>
    </row>
    <row r="48" customFormat="false" ht="12.75" hidden="false" customHeight="true" outlineLevel="4" collapsed="false">
      <c r="A48" s="57" t="s">
        <v>84</v>
      </c>
      <c r="B48" s="58" t="n">
        <f aca="false">D48+R48</f>
        <v>0</v>
      </c>
      <c r="C48" s="58"/>
      <c r="D48" s="62" t="n">
        <f aca="false">SUM(E48:M48)+O48+P48</f>
        <v>0</v>
      </c>
      <c r="E48" s="62" t="n">
        <f aca="false">MayYTD!E48-AprYTD!E48</f>
        <v>0</v>
      </c>
      <c r="F48" s="62" t="n">
        <f aca="false">MayYTD!F48-AprYTD!F48</f>
        <v>0</v>
      </c>
      <c r="G48" s="62" t="n">
        <f aca="false">MayYTD!G48-AprYTD!G48</f>
        <v>0</v>
      </c>
      <c r="H48" s="62" t="n">
        <f aca="false">MayYTD!H48-AprYTD!H48</f>
        <v>0</v>
      </c>
      <c r="I48" s="62" t="n">
        <f aca="false">MayYTD!I48-AprYTD!I48</f>
        <v>0</v>
      </c>
      <c r="J48" s="62" t="n">
        <f aca="false">MayYTD!J48-AprYTD!J48</f>
        <v>0</v>
      </c>
      <c r="K48" s="62" t="n">
        <f aca="false">MayYTD!K48-AprYTD!K48</f>
        <v>0</v>
      </c>
      <c r="L48" s="62" t="n">
        <f aca="false">MayYTD!L48-AprYTD!L48</f>
        <v>0</v>
      </c>
      <c r="M48" s="62" t="n">
        <f aca="false">MayYTD!M48-AprYTD!M48</f>
        <v>0</v>
      </c>
      <c r="N48" s="62"/>
      <c r="O48" s="62" t="n">
        <f aca="false">MayYTD!O48-AprYTD!O48</f>
        <v>0</v>
      </c>
      <c r="P48" s="62" t="n">
        <f aca="false">MayYTD!P48-AprYTD!P48</f>
        <v>0</v>
      </c>
    </row>
    <row r="49" customFormat="false" ht="12.75" hidden="false" customHeight="true" outlineLevel="4" collapsed="false">
      <c r="A49" s="57" t="s">
        <v>107</v>
      </c>
      <c r="B49" s="58" t="n">
        <f aca="false">D49+R49</f>
        <v>0</v>
      </c>
      <c r="C49" s="58"/>
      <c r="D49" s="62" t="n">
        <f aca="false">SUM(E49:P49)</f>
        <v>0</v>
      </c>
      <c r="E49" s="62" t="n">
        <f aca="false">MayYTD!E49-AprYTD!E49</f>
        <v>0</v>
      </c>
      <c r="F49" s="62" t="n">
        <f aca="false">MayYTD!F49-AprYTD!F49</f>
        <v>0</v>
      </c>
      <c r="G49" s="62" t="n">
        <f aca="false">MayYTD!G49-AprYTD!G49</f>
        <v>0</v>
      </c>
      <c r="H49" s="62" t="n">
        <f aca="false">MayYTD!H49-AprYTD!H49</f>
        <v>0</v>
      </c>
      <c r="I49" s="62" t="n">
        <f aca="false">MayYTD!I49-AprYTD!I49</f>
        <v>0</v>
      </c>
      <c r="J49" s="62" t="n">
        <f aca="false">MayYTD!J49-AprYTD!J49</f>
        <v>0</v>
      </c>
      <c r="K49" s="62" t="n">
        <f aca="false">MayYTD!K49-AprYTD!K49</f>
        <v>0</v>
      </c>
      <c r="L49" s="62" t="n">
        <f aca="false">MayYTD!L49-AprYTD!L49</f>
        <v>0</v>
      </c>
      <c r="M49" s="62" t="n">
        <f aca="false">MayYTD!M49-AprYTD!M49</f>
        <v>0</v>
      </c>
      <c r="N49" s="75"/>
      <c r="O49" s="62" t="n">
        <f aca="false">MayYTD!O49-AprYTD!O49</f>
        <v>0</v>
      </c>
      <c r="P49" s="62" t="n">
        <f aca="false">MayYTD!P49-AprYTD!P49</f>
        <v>0</v>
      </c>
      <c r="R49" s="50"/>
    </row>
    <row r="50" customFormat="false" ht="12.75" hidden="false" customHeight="true" outlineLevel="3" collapsed="false">
      <c r="A50" s="57" t="s">
        <v>86</v>
      </c>
      <c r="B50" s="72" t="n">
        <f aca="false">SUM(B45:B49)</f>
        <v>-23000</v>
      </c>
      <c r="C50" s="58"/>
      <c r="D50" s="72" t="n">
        <f aca="false">SUM(D45:D49)</f>
        <v>-23000</v>
      </c>
      <c r="E50" s="72" t="n">
        <f aca="false">SUM(E45:E49)</f>
        <v>0</v>
      </c>
      <c r="F50" s="72" t="n">
        <f aca="false">SUM(F45:F49)</f>
        <v>-23000</v>
      </c>
      <c r="G50" s="72" t="n">
        <f aca="false">SUM(G45:G49)</f>
        <v>0</v>
      </c>
      <c r="H50" s="72" t="n">
        <f aca="false">SUM(H45:H49)</f>
        <v>0</v>
      </c>
      <c r="I50" s="72" t="n">
        <f aca="false">SUM(I45:I49)</f>
        <v>0</v>
      </c>
      <c r="J50" s="72" t="n">
        <f aca="false">SUM(J45:J49)</f>
        <v>0</v>
      </c>
      <c r="K50" s="72" t="n">
        <f aca="false">SUM(K45:K49)</f>
        <v>0</v>
      </c>
      <c r="L50" s="72" t="n">
        <f aca="false">SUM(L45:L49)</f>
        <v>0</v>
      </c>
      <c r="M50" s="72" t="n">
        <f aca="false">SUM(M45:M49)</f>
        <v>0</v>
      </c>
      <c r="N50" s="72" t="n">
        <f aca="false">SUM(N45:N49)</f>
        <v>0</v>
      </c>
      <c r="O50" s="72" t="n">
        <f aca="false">SUM(O45:O49)</f>
        <v>0</v>
      </c>
      <c r="P50" s="72" t="n">
        <f aca="false">SUM(P45:P49)</f>
        <v>0</v>
      </c>
      <c r="R50" s="72" t="n">
        <f aca="false">SUM(R45:R49)</f>
        <v>0</v>
      </c>
    </row>
    <row r="51" customFormat="false" ht="12.75" hidden="false" customHeight="true" outlineLevel="3" collapsed="false">
      <c r="A51" s="57"/>
      <c r="B51" s="71"/>
      <c r="C51" s="58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R51" s="71"/>
    </row>
    <row r="52" customFormat="false" ht="12.75" hidden="false" customHeight="true" outlineLevel="2" collapsed="false">
      <c r="A52" s="57" t="s">
        <v>87</v>
      </c>
      <c r="B52" s="71" t="n">
        <f aca="false">B33+B42+B50</f>
        <v>-44827.278</v>
      </c>
      <c r="C52" s="58"/>
      <c r="D52" s="71" t="n">
        <f aca="false">D33+D42+D50</f>
        <v>-23324.617</v>
      </c>
      <c r="E52" s="71" t="n">
        <f aca="false">E33+E42+E50</f>
        <v>4913.90100000004</v>
      </c>
      <c r="F52" s="71" t="n">
        <f aca="false">F33+F42+F50</f>
        <v>-21351.351</v>
      </c>
      <c r="G52" s="71" t="n">
        <f aca="false">G33+G42+G50</f>
        <v>0</v>
      </c>
      <c r="H52" s="71" t="n">
        <f aca="false">H33+H42+H50</f>
        <v>1613.421</v>
      </c>
      <c r="I52" s="71" t="n">
        <f aca="false">I33+I42+I50</f>
        <v>4.617</v>
      </c>
      <c r="J52" s="71" t="n">
        <f aca="false">J33+J42+J50</f>
        <v>-1479.651</v>
      </c>
      <c r="K52" s="71" t="n">
        <f aca="false">K33+K42+K50</f>
        <v>-59.4390000000002</v>
      </c>
      <c r="L52" s="71" t="n">
        <f aca="false">L33+L42+L50</f>
        <v>8.58199999999988</v>
      </c>
      <c r="M52" s="71" t="n">
        <f aca="false">M33+M42+M50</f>
        <v>2735</v>
      </c>
      <c r="N52" s="71" t="n">
        <f aca="false">M52+L52</f>
        <v>2743.582</v>
      </c>
      <c r="O52" s="71" t="n">
        <f aca="false">O33+O42+O50</f>
        <v>-9765.144</v>
      </c>
      <c r="P52" s="71" t="n">
        <f aca="false">P33+P42+P50</f>
        <v>55.447</v>
      </c>
      <c r="R52" s="71" t="n">
        <f aca="false">R33+R42+R50</f>
        <v>-21502.661</v>
      </c>
    </row>
    <row r="53" customFormat="false" ht="12.75" hidden="false" customHeight="true" outlineLevel="2" collapsed="false">
      <c r="A53" s="57"/>
      <c r="B53" s="71"/>
      <c r="C53" s="58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R53" s="71"/>
    </row>
    <row r="54" customFormat="false" ht="12.75" hidden="false" customHeight="true" outlineLevel="2" collapsed="false">
      <c r="A54" s="57" t="s">
        <v>88</v>
      </c>
      <c r="B54" s="63" t="n">
        <f aca="false">D54+R54</f>
        <v>-63</v>
      </c>
      <c r="C54" s="58"/>
      <c r="D54" s="64" t="n">
        <f aca="false">SUM(E54:M54)+O54+P54</f>
        <v>0</v>
      </c>
      <c r="E54" s="77" t="n">
        <v>0</v>
      </c>
      <c r="F54" s="77" t="n">
        <v>0</v>
      </c>
      <c r="G54" s="77" t="n">
        <v>0</v>
      </c>
      <c r="H54" s="77" t="n">
        <v>0</v>
      </c>
      <c r="I54" s="77" t="n">
        <v>0</v>
      </c>
      <c r="J54" s="77" t="n">
        <v>0</v>
      </c>
      <c r="K54" s="77" t="n">
        <v>0</v>
      </c>
      <c r="L54" s="77" t="n">
        <v>0</v>
      </c>
      <c r="M54" s="77" t="n">
        <v>0</v>
      </c>
      <c r="N54" s="77"/>
      <c r="O54" s="50"/>
      <c r="P54" s="77" t="n">
        <f aca="false">MayYTD!P54-AprYTD!P54</f>
        <v>0</v>
      </c>
      <c r="R54" s="64" t="n">
        <f aca="false">MayYTD!R54-AprYTD!R54</f>
        <v>-63</v>
      </c>
    </row>
    <row r="55" customFormat="false" ht="12.75" hidden="false" customHeight="true" outlineLevel="2" collapsed="false">
      <c r="A55" s="57"/>
      <c r="B55" s="58"/>
      <c r="C55" s="58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R55" s="42"/>
    </row>
    <row r="56" customFormat="false" ht="12.75" hidden="false" customHeight="true" outlineLevel="1" collapsed="false">
      <c r="A56" s="57" t="s">
        <v>89</v>
      </c>
      <c r="B56" s="74" t="n">
        <f aca="false">B54+B52</f>
        <v>-44890.278</v>
      </c>
      <c r="C56" s="58"/>
      <c r="D56" s="74" t="n">
        <f aca="false">D54+D52</f>
        <v>-23324.617</v>
      </c>
      <c r="E56" s="74" t="n">
        <f aca="false">E54+E52</f>
        <v>4913.90100000004</v>
      </c>
      <c r="F56" s="74" t="n">
        <f aca="false">F54+F52</f>
        <v>-21351.351</v>
      </c>
      <c r="G56" s="74" t="n">
        <f aca="false">G54+G52</f>
        <v>0</v>
      </c>
      <c r="H56" s="74" t="n">
        <f aca="false">H54+H52</f>
        <v>1613.421</v>
      </c>
      <c r="I56" s="74" t="n">
        <f aca="false">I54+I52</f>
        <v>4.617</v>
      </c>
      <c r="J56" s="74" t="n">
        <f aca="false">J54+J52</f>
        <v>-1479.651</v>
      </c>
      <c r="K56" s="74" t="n">
        <f aca="false">K54+K52</f>
        <v>-59.4390000000002</v>
      </c>
      <c r="L56" s="74" t="n">
        <f aca="false">L54+L52</f>
        <v>8.58199999999988</v>
      </c>
      <c r="M56" s="74" t="n">
        <f aca="false">M54+M52</f>
        <v>2735</v>
      </c>
      <c r="N56" s="74" t="n">
        <f aca="false">N54+N52</f>
        <v>2743.582</v>
      </c>
      <c r="O56" s="74" t="n">
        <f aca="false">O54+O52</f>
        <v>-9765.144</v>
      </c>
      <c r="P56" s="74" t="n">
        <f aca="false">P54+P52</f>
        <v>55.447</v>
      </c>
      <c r="R56" s="74" t="n">
        <f aca="false">R54+R52</f>
        <v>-21565.661</v>
      </c>
    </row>
    <row r="57" customFormat="false" ht="12.75" hidden="false" customHeight="true" outlineLevel="1" collapsed="false">
      <c r="B57" s="42"/>
      <c r="C57" s="42"/>
    </row>
    <row r="58" customFormat="false" ht="12.75" hidden="false" customHeight="true" outlineLevel="0" collapsed="false">
      <c r="A58" s="40" t="s">
        <v>90</v>
      </c>
      <c r="B58" s="64" t="n">
        <f aca="false">D58+R58</f>
        <v>22993</v>
      </c>
      <c r="C58" s="42"/>
      <c r="D58" s="64" t="n">
        <f aca="false">SUM(E58:P58)</f>
        <v>22993</v>
      </c>
      <c r="E58" s="64" t="n">
        <f aca="false">MayYTD!E58-AprYTD!E58</f>
        <v>-7</v>
      </c>
      <c r="F58" s="64" t="n">
        <f aca="false">MayYTD!F58-AprYTD!F58</f>
        <v>23000</v>
      </c>
      <c r="G58" s="64" t="n">
        <f aca="false">MayYTD!G58-AprYTD!G58</f>
        <v>0</v>
      </c>
      <c r="H58" s="64" t="n">
        <f aca="false">MayYTD!H58-AprYTD!H58</f>
        <v>0</v>
      </c>
      <c r="I58" s="64" t="n">
        <f aca="false">MayYTD!I58-AprYTD!I58</f>
        <v>0</v>
      </c>
      <c r="J58" s="64" t="n">
        <f aca="false">MayYTD!J58-AprYTD!J58</f>
        <v>205</v>
      </c>
      <c r="K58" s="64" t="n">
        <f aca="false">MayYTD!K58-AprYTD!K58</f>
        <v>-205</v>
      </c>
      <c r="L58" s="64" t="n">
        <f aca="false">MayYTD!L58-AprYTD!L58</f>
        <v>0</v>
      </c>
      <c r="M58" s="64" t="n">
        <f aca="false">MayYTD!M58-AprYTD!M58</f>
        <v>0</v>
      </c>
      <c r="N58" s="77"/>
      <c r="O58" s="64" t="n">
        <f aca="false">MayYTD!O58-AprYTD!O58</f>
        <v>0</v>
      </c>
      <c r="P58" s="64" t="n">
        <f aca="false">MayYTD!P58-AprYTD!P58</f>
        <v>0</v>
      </c>
      <c r="R58" s="50"/>
    </row>
    <row r="59" customFormat="false" ht="12.75" hidden="false" customHeight="true" outlineLevel="0" collapsed="false">
      <c r="B59" s="42"/>
      <c r="C59" s="42"/>
    </row>
    <row r="60" customFormat="false" ht="12.75" hidden="false" customHeight="true" outlineLevel="0" collapsed="false">
      <c r="A60" s="40" t="s">
        <v>91</v>
      </c>
      <c r="B60" s="74" t="n">
        <f aca="false">B56+B58</f>
        <v>-21897.278</v>
      </c>
      <c r="C60" s="42"/>
      <c r="D60" s="74" t="n">
        <f aca="false">D56+D58</f>
        <v>-331.616999999958</v>
      </c>
      <c r="E60" s="74" t="n">
        <f aca="false">E56+E58</f>
        <v>4906.90100000004</v>
      </c>
      <c r="F60" s="74" t="n">
        <f aca="false">F56+F58</f>
        <v>1648.64900000001</v>
      </c>
      <c r="G60" s="74" t="n">
        <f aca="false">G56+G58</f>
        <v>0</v>
      </c>
      <c r="H60" s="74" t="n">
        <f aca="false">H56+H58</f>
        <v>1613.421</v>
      </c>
      <c r="I60" s="74" t="n">
        <f aca="false">I56+I58</f>
        <v>4.617</v>
      </c>
      <c r="J60" s="74" t="n">
        <f aca="false">J56+J58</f>
        <v>-1274.651</v>
      </c>
      <c r="K60" s="74" t="n">
        <f aca="false">K56+K58</f>
        <v>-264.439</v>
      </c>
      <c r="L60" s="74" t="n">
        <f aca="false">L56+L58</f>
        <v>8.58199999999988</v>
      </c>
      <c r="M60" s="74" t="n">
        <f aca="false">M56+M58</f>
        <v>2735</v>
      </c>
      <c r="N60" s="74" t="n">
        <f aca="false">M60+L60</f>
        <v>2743.582</v>
      </c>
      <c r="O60" s="74" t="n">
        <f aca="false">O56+O58</f>
        <v>-9765.144</v>
      </c>
      <c r="P60" s="74" t="n">
        <f aca="false">P56+P58</f>
        <v>55.447</v>
      </c>
      <c r="R60" s="74" t="n">
        <f aca="false">R56+R58</f>
        <v>-21565.661</v>
      </c>
    </row>
    <row r="61" customFormat="false" ht="12.75" hidden="false" customHeight="true" outlineLevel="0" collapsed="false">
      <c r="B61" s="42"/>
      <c r="C61" s="42"/>
    </row>
    <row r="62" customFormat="false" ht="12.75" hidden="false" customHeight="true" outlineLevel="0" collapsed="false">
      <c r="B62" s="42"/>
      <c r="C62" s="42"/>
    </row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78"/>
  <sheetViews>
    <sheetView showFormulas="false" showGridLines="true" showRowColHeaders="true" showZeros="true" rightToLeft="false" tabSelected="false" showOutlineSymbols="true" defaultGridColor="true" view="normal" topLeftCell="D36" colorId="64" zoomScale="100" zoomScaleNormal="100" zoomScalePageLayoutView="100" workbookViewId="0">
      <selection pane="topLeft" activeCell="R54" activeCellId="0" sqref="R54"/>
    </sheetView>
  </sheetViews>
  <sheetFormatPr defaultColWidth="8.9921875" defaultRowHeight="12.75" customHeight="true" zeroHeight="false" outlineLevelRow="4" outlineLevelCol="0"/>
  <cols>
    <col collapsed="false" customWidth="true" hidden="false" outlineLevel="0" max="1" min="1" style="40" width="60.5"/>
    <col collapsed="false" customWidth="true" hidden="false" outlineLevel="0" max="2" min="2" style="40" width="14.49"/>
    <col collapsed="false" customWidth="true" hidden="false" outlineLevel="0" max="3" min="3" style="40" width="1.82"/>
    <col collapsed="false" customWidth="true" hidden="false" outlineLevel="0" max="4" min="4" style="40" width="11.82"/>
    <col collapsed="false" customWidth="true" hidden="false" outlineLevel="0" max="5" min="5" style="40" width="10.65"/>
    <col collapsed="false" customWidth="true" hidden="false" outlineLevel="0" max="6" min="6" style="40" width="10.82"/>
    <col collapsed="false" customWidth="true" hidden="false" outlineLevel="0" max="7" min="7" style="40" width="12.82"/>
    <col collapsed="false" customWidth="true" hidden="false" outlineLevel="0" max="10" min="8" style="40" width="10.82"/>
    <col collapsed="false" customWidth="true" hidden="false" outlineLevel="0" max="11" min="11" style="40" width="10.49"/>
    <col collapsed="false" customWidth="true" hidden="true" outlineLevel="0" max="12" min="12" style="40" width="12.49"/>
    <col collapsed="false" customWidth="true" hidden="true" outlineLevel="0" max="13" min="13" style="40" width="9.99"/>
    <col collapsed="false" customWidth="true" hidden="false" outlineLevel="0" max="14" min="14" style="40" width="9.99"/>
    <col collapsed="false" customWidth="true" hidden="false" outlineLevel="0" max="15" min="15" style="40" width="12.16"/>
    <col collapsed="false" customWidth="true" hidden="false" outlineLevel="0" max="16" min="16" style="40" width="10.82"/>
    <col collapsed="false" customWidth="true" hidden="false" outlineLevel="0" max="17" min="17" style="40" width="3.65"/>
    <col collapsed="false" customWidth="true" hidden="false" outlineLevel="0" max="18" min="18" style="40" width="10.65"/>
    <col collapsed="false" customWidth="false" hidden="false" outlineLevel="0" max="257" min="19" style="40" width="8.99"/>
  </cols>
  <sheetData>
    <row r="1" customFormat="false" ht="12.75" hidden="false" customHeight="true" outlineLevel="0" collapsed="false">
      <c r="A1" s="41" t="s">
        <v>18</v>
      </c>
      <c r="B1" s="42"/>
      <c r="C1" s="42"/>
      <c r="D1" s="42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customFormat="false" ht="12.75" hidden="false" customHeight="true" outlineLevel="0" collapsed="false">
      <c r="A2" s="44" t="s">
        <v>19</v>
      </c>
      <c r="D2" s="45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customFormat="false" ht="12.75" hidden="false" customHeight="true" outlineLevel="0" collapsed="false">
      <c r="A3" s="47" t="s">
        <v>116</v>
      </c>
      <c r="B3" s="42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</row>
    <row r="4" customFormat="false" ht="12.75" hidden="false" customHeight="true" outlineLevel="0" collapsed="false">
      <c r="A4" s="42"/>
      <c r="B4" s="49" t="s">
        <v>97</v>
      </c>
      <c r="C4" s="50"/>
      <c r="D4" s="51"/>
      <c r="I4" s="52" t="s">
        <v>98</v>
      </c>
      <c r="J4" s="52" t="s">
        <v>28</v>
      </c>
      <c r="K4" s="52" t="s">
        <v>29</v>
      </c>
      <c r="L4" s="52" t="s">
        <v>30</v>
      </c>
      <c r="M4" s="52" t="s">
        <v>31</v>
      </c>
      <c r="N4" s="52" t="s">
        <v>30</v>
      </c>
      <c r="O4" s="52" t="s">
        <v>32</v>
      </c>
      <c r="R4" s="53" t="s">
        <v>21</v>
      </c>
    </row>
    <row r="5" customFormat="false" ht="12.75" hidden="false" customHeight="true" outlineLevel="0" collapsed="false">
      <c r="A5" s="54" t="s">
        <v>34</v>
      </c>
      <c r="B5" s="55" t="s">
        <v>100</v>
      </c>
      <c r="C5" s="52"/>
      <c r="D5" s="51" t="s">
        <v>35</v>
      </c>
      <c r="E5" s="51" t="s">
        <v>22</v>
      </c>
      <c r="F5" s="51" t="s">
        <v>23</v>
      </c>
      <c r="G5" s="51" t="s">
        <v>24</v>
      </c>
      <c r="H5" s="51" t="s">
        <v>25</v>
      </c>
      <c r="I5" s="51" t="n">
        <v>543</v>
      </c>
      <c r="J5" s="51" t="n">
        <v>584</v>
      </c>
      <c r="K5" s="51" t="n">
        <v>583</v>
      </c>
      <c r="L5" s="51" t="s">
        <v>36</v>
      </c>
      <c r="M5" s="51"/>
      <c r="N5" s="51" t="s">
        <v>37</v>
      </c>
      <c r="O5" s="51" t="s">
        <v>38</v>
      </c>
      <c r="P5" s="51" t="s">
        <v>33</v>
      </c>
      <c r="R5" s="56" t="s">
        <v>102</v>
      </c>
    </row>
    <row r="6" customFormat="false" ht="12.75" hidden="false" customHeight="true" outlineLevel="2" collapsed="false">
      <c r="A6" s="57"/>
      <c r="B6" s="58"/>
      <c r="C6" s="58"/>
      <c r="D6" s="59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</row>
    <row r="7" customFormat="false" ht="12.75" hidden="false" customHeight="true" outlineLevel="4" collapsed="false">
      <c r="A7" s="61" t="s">
        <v>39</v>
      </c>
      <c r="B7" s="58"/>
      <c r="C7" s="58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</row>
    <row r="8" customFormat="false" ht="12.75" hidden="false" customHeight="true" outlineLevel="4" collapsed="false">
      <c r="A8" s="57" t="s">
        <v>40</v>
      </c>
      <c r="B8" s="58" t="n">
        <f aca="false">D8+R8</f>
        <v>118484.853</v>
      </c>
      <c r="C8" s="58"/>
      <c r="D8" s="62" t="n">
        <f aca="false">SUM(E8:M8)+O8+P8</f>
        <v>119151.934</v>
      </c>
      <c r="E8" s="62" t="n">
        <f aca="false">'[13]05YTD '!J$65</f>
        <v>74259.728</v>
      </c>
      <c r="F8" s="62" t="n">
        <f aca="false">'[13]05YTD '!K$65</f>
        <v>23548.338</v>
      </c>
      <c r="G8" s="62" t="n">
        <f aca="false">'[13]05YTD '!L$65</f>
        <v>14141.348</v>
      </c>
      <c r="H8" s="62" t="n">
        <f aca="false">'[13]05YTD '!M$65</f>
        <v>1443.74</v>
      </c>
      <c r="I8" s="62" t="n">
        <f aca="false">'[13]05YTD '!N$65</f>
        <v>-6.724</v>
      </c>
      <c r="J8" s="62" t="n">
        <f aca="false">'[13]05YTD '!O$65</f>
        <v>280.016</v>
      </c>
      <c r="K8" s="62" t="n">
        <f aca="false">'[13]05YTD '!P$65</f>
        <v>86.9459999999998</v>
      </c>
      <c r="L8" s="62" t="n">
        <f aca="false">'[13]05YTD '!Q$65</f>
        <v>-18.398</v>
      </c>
      <c r="M8" s="62" t="n">
        <f aca="false">[14]04YTD!R$65</f>
        <v>0</v>
      </c>
      <c r="N8" s="62" t="n">
        <f aca="false">+'[13]05YTD '!$T$65</f>
        <v>-18.398</v>
      </c>
      <c r="O8" s="62" t="n">
        <f aca="false">+'[13]05YTD '!$U$65</f>
        <v>5462.493</v>
      </c>
      <c r="P8" s="62" t="n">
        <f aca="false">+'[13]05YTD '!$V$65</f>
        <v>-45.553</v>
      </c>
      <c r="R8" s="62" t="n">
        <f aca="false">[12]MAY_YTD!$H$8</f>
        <v>-667.081</v>
      </c>
    </row>
    <row r="9" customFormat="false" ht="12.75" hidden="false" customHeight="true" outlineLevel="4" collapsed="false">
      <c r="A9" s="57" t="s">
        <v>41</v>
      </c>
      <c r="B9" s="63" t="n">
        <f aca="false">D9+R9</f>
        <v>11793.872</v>
      </c>
      <c r="C9" s="58"/>
      <c r="D9" s="64" t="n">
        <f aca="false">SUM(E9:M9)+O9+P9</f>
        <v>11793.872</v>
      </c>
      <c r="E9" s="64" t="n">
        <f aca="false">+'[13]05YTD '!J72*-1</f>
        <v>-6010.723</v>
      </c>
      <c r="F9" s="64" t="n">
        <f aca="false">+'[13]05YTD '!K72*-1</f>
        <v>458.018</v>
      </c>
      <c r="G9" s="64" t="n">
        <f aca="false">+'[13]05YTD '!L72</f>
        <v>0</v>
      </c>
      <c r="H9" s="64" t="n">
        <f aca="false">+'[13]05YTD '!M72*-1</f>
        <v>1463.283</v>
      </c>
      <c r="I9" s="64" t="n">
        <f aca="false">+'[13]05YTD '!N72</f>
        <v>0</v>
      </c>
      <c r="J9" s="64" t="n">
        <f aca="false">+'[13]05YTD '!O72*-1</f>
        <v>135.584</v>
      </c>
      <c r="K9" s="64" t="n">
        <f aca="false">+'[13]05YTD '!P72</f>
        <v>0</v>
      </c>
      <c r="L9" s="64" t="n">
        <f aca="false">+'[13]05YTD '!Q72</f>
        <v>0</v>
      </c>
      <c r="M9" s="64" t="n">
        <f aca="false">[14]04YTD!R$72*-1</f>
        <v>-0</v>
      </c>
      <c r="N9" s="64" t="n">
        <f aca="false">+'[13]05YTD '!T72</f>
        <v>0</v>
      </c>
      <c r="O9" s="64" t="n">
        <f aca="false">+'[13]05YTD '!U72*-1</f>
        <v>15747.71</v>
      </c>
      <c r="P9" s="64" t="n">
        <f aca="false">+'[13]05YTD '!V72</f>
        <v>0</v>
      </c>
      <c r="R9" s="64" t="n">
        <f aca="false">[14]04YTD!X$72*-1</f>
        <v>-0</v>
      </c>
    </row>
    <row r="10" customFormat="false" ht="12.75" hidden="false" customHeight="true" outlineLevel="4" collapsed="false">
      <c r="A10" s="57" t="s">
        <v>42</v>
      </c>
      <c r="B10" s="65" t="n">
        <f aca="false">B8+B9</f>
        <v>130278.725</v>
      </c>
      <c r="C10" s="58"/>
      <c r="D10" s="65" t="n">
        <f aca="false">D8+D9</f>
        <v>130945.806</v>
      </c>
      <c r="E10" s="65" t="n">
        <f aca="false">E8+E9</f>
        <v>68249.005</v>
      </c>
      <c r="F10" s="65" t="n">
        <f aca="false">F8+F9</f>
        <v>24006.356</v>
      </c>
      <c r="G10" s="65" t="n">
        <f aca="false">G8+G9</f>
        <v>14141.348</v>
      </c>
      <c r="H10" s="65" t="n">
        <f aca="false">H8+H9</f>
        <v>2907.023</v>
      </c>
      <c r="I10" s="65" t="n">
        <f aca="false">I8+I9</f>
        <v>-6.724</v>
      </c>
      <c r="J10" s="65" t="n">
        <f aca="false">J8+J9</f>
        <v>415.6</v>
      </c>
      <c r="K10" s="65" t="n">
        <f aca="false">K8+K9</f>
        <v>86.9459999999998</v>
      </c>
      <c r="L10" s="65" t="n">
        <f aca="false">L8+L9</f>
        <v>-18.398</v>
      </c>
      <c r="M10" s="65" t="n">
        <f aca="false">M8+M9</f>
        <v>0</v>
      </c>
      <c r="N10" s="65" t="n">
        <f aca="false">N8+N9</f>
        <v>-18.398</v>
      </c>
      <c r="O10" s="65" t="n">
        <f aca="false">O8+O9</f>
        <v>21210.203</v>
      </c>
      <c r="P10" s="65" t="n">
        <f aca="false">P8+P9</f>
        <v>-45.553</v>
      </c>
      <c r="R10" s="65" t="n">
        <f aca="false">R8+R9</f>
        <v>-667.081</v>
      </c>
    </row>
    <row r="11" customFormat="false" ht="12.75" hidden="false" customHeight="true" outlineLevel="4" collapsed="false">
      <c r="A11" s="57"/>
      <c r="B11" s="65"/>
      <c r="C11" s="58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R11" s="65"/>
    </row>
    <row r="12" customFormat="false" ht="12.75" hidden="false" customHeight="true" outlineLevel="4" collapsed="false">
      <c r="A12" s="57" t="s">
        <v>43</v>
      </c>
      <c r="B12" s="58" t="n">
        <f aca="false">D12+R12</f>
        <v>27044.122</v>
      </c>
      <c r="C12" s="58"/>
      <c r="D12" s="62" t="n">
        <f aca="false">SUM(E12:M12)+O12+P12</f>
        <v>27044.122</v>
      </c>
      <c r="E12" s="62" t="n">
        <f aca="false">+'[13]05YTD '!J36</f>
        <v>18910.375</v>
      </c>
      <c r="F12" s="62" t="n">
        <f aca="false">+'[13]05YTD '!K36</f>
        <v>8111.436</v>
      </c>
      <c r="G12" s="62" t="n">
        <f aca="false">+'[13]05YTD '!L36</f>
        <v>0</v>
      </c>
      <c r="H12" s="62" t="n">
        <f aca="false">+'[13]05YTD '!M36</f>
        <v>0</v>
      </c>
      <c r="I12" s="62" t="n">
        <f aca="false">+'[13]05YTD '!N36</f>
        <v>0</v>
      </c>
      <c r="J12" s="62" t="n">
        <f aca="false">+'[13]05YTD '!O36</f>
        <v>0</v>
      </c>
      <c r="K12" s="62" t="n">
        <f aca="false">+'[13]05YTD '!P36</f>
        <v>0</v>
      </c>
      <c r="L12" s="62" t="n">
        <f aca="false">+'[13]05YTD '!Q36</f>
        <v>22.311</v>
      </c>
      <c r="M12" s="62" t="n">
        <f aca="false">[14]04YTD!R$36</f>
        <v>0</v>
      </c>
      <c r="N12" s="62" t="n">
        <f aca="false">+'[13]05YTD '!T36</f>
        <v>22.311</v>
      </c>
      <c r="O12" s="62" t="n">
        <f aca="false">+'[13]05YTD '!U36</f>
        <v>0</v>
      </c>
      <c r="P12" s="62" t="n">
        <f aca="false">+'[13]05YTD '!V36</f>
        <v>0</v>
      </c>
      <c r="R12" s="62" t="n">
        <f aca="false">[15]APR_YTD!$H11</f>
        <v>0</v>
      </c>
    </row>
    <row r="13" customFormat="false" ht="12.75" hidden="false" customHeight="true" outlineLevel="4" collapsed="false">
      <c r="A13" s="57" t="s">
        <v>45</v>
      </c>
      <c r="B13" s="58" t="n">
        <f aca="false">D13+R13</f>
        <v>11049.691</v>
      </c>
      <c r="C13" s="58"/>
      <c r="D13" s="62" t="n">
        <f aca="false">SUM(E13:M13)+O13+P13</f>
        <v>11024.376</v>
      </c>
      <c r="E13" s="62" t="n">
        <f aca="false">+'[13]05YTD '!J62</f>
        <v>10207.586</v>
      </c>
      <c r="F13" s="62" t="n">
        <f aca="false">+'[13]05YTD '!K62</f>
        <v>532.562</v>
      </c>
      <c r="G13" s="62" t="n">
        <f aca="false">+'[13]05YTD '!L62</f>
        <v>0</v>
      </c>
      <c r="H13" s="62" t="n">
        <f aca="false">+'[13]05YTD '!M62</f>
        <v>270.377</v>
      </c>
      <c r="I13" s="62" t="n">
        <f aca="false">+'[13]05YTD '!N62</f>
        <v>0</v>
      </c>
      <c r="J13" s="62" t="n">
        <f aca="false">+'[13]05YTD '!O62</f>
        <v>0</v>
      </c>
      <c r="K13" s="62" t="n">
        <f aca="false">+'[13]05YTD '!P62</f>
        <v>-3.036</v>
      </c>
      <c r="L13" s="62" t="n">
        <f aca="false">+'[13]05YTD '!Q62</f>
        <v>16.887</v>
      </c>
      <c r="M13" s="62" t="n">
        <f aca="false">[14]04YTD!R$62</f>
        <v>0</v>
      </c>
      <c r="N13" s="62" t="n">
        <f aca="false">+'[13]05YTD '!T62</f>
        <v>16.887</v>
      </c>
      <c r="O13" s="62" t="n">
        <f aca="false">+'[13]05YTD '!U62</f>
        <v>0</v>
      </c>
      <c r="P13" s="62" t="n">
        <f aca="false">+'[13]05YTD '!V62</f>
        <v>0</v>
      </c>
      <c r="R13" s="62" t="n">
        <f aca="false">[12]MAY_YTD!$H12</f>
        <v>25.315</v>
      </c>
    </row>
    <row r="14" customFormat="false" ht="12.75" hidden="false" customHeight="true" outlineLevel="4" collapsed="false">
      <c r="A14" s="57" t="s">
        <v>47</v>
      </c>
      <c r="B14" s="58" t="n">
        <f aca="false">D14+R14</f>
        <v>-961.336</v>
      </c>
      <c r="C14" s="58"/>
      <c r="D14" s="62" t="n">
        <f aca="false">SUM(E14:M14)+O14+P14</f>
        <v>-961.336</v>
      </c>
      <c r="E14" s="62" t="n">
        <f aca="false">-'[13]05YTD '!J46</f>
        <v>-961.338</v>
      </c>
      <c r="F14" s="62" t="n">
        <f aca="false">-'[13]05YTD '!K46</f>
        <v>0.002</v>
      </c>
      <c r="G14" s="62" t="n">
        <f aca="false">-'[13]05YTD '!L46</f>
        <v>-0</v>
      </c>
      <c r="H14" s="62" t="n">
        <f aca="false">-'[13]05YTD '!M46</f>
        <v>-0</v>
      </c>
      <c r="I14" s="62" t="n">
        <f aca="false">-'[13]05YTD '!N46</f>
        <v>-0</v>
      </c>
      <c r="J14" s="62" t="n">
        <f aca="false">-'[13]05YTD '!O46</f>
        <v>-0</v>
      </c>
      <c r="K14" s="62" t="n">
        <f aca="false">-'[13]05YTD '!P46</f>
        <v>-0</v>
      </c>
      <c r="L14" s="62" t="n">
        <f aca="false">-'[13]05YTD '!Q46</f>
        <v>-0</v>
      </c>
      <c r="M14" s="62" t="n">
        <f aca="false">[16]01YTD!R$46*-1</f>
        <v>-0</v>
      </c>
      <c r="N14" s="62" t="n">
        <f aca="false">-'[13]05YTD '!T46</f>
        <v>-0</v>
      </c>
      <c r="O14" s="62" t="n">
        <f aca="false">-'[13]05YTD '!U46</f>
        <v>-0</v>
      </c>
      <c r="P14" s="62" t="n">
        <f aca="false">-'[13]05YTD '!V46</f>
        <v>-0</v>
      </c>
      <c r="R14" s="62" t="n">
        <f aca="false">[15]APR_YTD!$H14</f>
        <v>0</v>
      </c>
    </row>
    <row r="15" customFormat="false" ht="12.75" hidden="false" customHeight="true" outlineLevel="4" collapsed="false">
      <c r="A15" s="57" t="s">
        <v>48</v>
      </c>
      <c r="B15" s="58" t="n">
        <f aca="false">D15+R15</f>
        <v>0</v>
      </c>
      <c r="C15" s="58"/>
      <c r="D15" s="62" t="n">
        <f aca="false">SUM(E15:M15)+O15+P15</f>
        <v>0</v>
      </c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R15" s="62"/>
    </row>
    <row r="16" customFormat="false" ht="12.75" hidden="false" customHeight="true" outlineLevel="4" collapsed="false">
      <c r="A16" s="57" t="s">
        <v>51</v>
      </c>
      <c r="B16" s="58" t="n">
        <f aca="false">D16+R16</f>
        <v>-17228.933</v>
      </c>
      <c r="C16" s="58"/>
      <c r="D16" s="62" t="n">
        <f aca="false">SUM(E16:M16)+O16+P16</f>
        <v>-18611.088</v>
      </c>
      <c r="E16" s="62" t="n">
        <f aca="false">-'[13]05YTD '!J43</f>
        <v>-1523.14</v>
      </c>
      <c r="F16" s="62" t="n">
        <f aca="false">-'[13]05YTD '!K43</f>
        <v>-0</v>
      </c>
      <c r="G16" s="62" t="n">
        <f aca="false">-'[13]05YTD '!L43</f>
        <v>-14141.348</v>
      </c>
      <c r="H16" s="62" t="n">
        <f aca="false">-'[13]05YTD '!M43</f>
        <v>-2946.6</v>
      </c>
      <c r="I16" s="62" t="n">
        <f aca="false">-'[13]05YTD '!N43</f>
        <v>-0</v>
      </c>
      <c r="J16" s="62" t="n">
        <f aca="false">-'[13]05YTD '!O43</f>
        <v>-0</v>
      </c>
      <c r="K16" s="62" t="n">
        <f aca="false">-'[13]05YTD '!P43</f>
        <v>-0</v>
      </c>
      <c r="L16" s="62" t="n">
        <f aca="false">-'[13]05YTD '!Q43</f>
        <v>-0</v>
      </c>
      <c r="M16" s="62" t="n">
        <f aca="false">[16]01YTD!R$43*-1</f>
        <v>-0</v>
      </c>
      <c r="N16" s="62" t="n">
        <f aca="false">-'[13]05YTD '!T43</f>
        <v>-0</v>
      </c>
      <c r="O16" s="62" t="n">
        <f aca="false">-'[13]05YTD '!U43</f>
        <v>-0</v>
      </c>
      <c r="P16" s="62" t="n">
        <f aca="false">-'[13]05YTD '!V43</f>
        <v>-0</v>
      </c>
      <c r="R16" s="62" t="n">
        <f aca="false">[12]MAY_YTD!$H15</f>
        <v>1382.155</v>
      </c>
    </row>
    <row r="17" customFormat="false" ht="12.75" hidden="false" customHeight="true" outlineLevel="4" collapsed="false">
      <c r="A17" s="57" t="s">
        <v>52</v>
      </c>
      <c r="B17" s="58" t="n">
        <f aca="false">D17+R17</f>
        <v>5865</v>
      </c>
      <c r="C17" s="58"/>
      <c r="D17" s="62" t="n">
        <f aca="false">SUM(E17:M17)+O17+P17</f>
        <v>2465</v>
      </c>
      <c r="E17" s="75" t="n">
        <v>833</v>
      </c>
      <c r="F17" s="75"/>
      <c r="G17" s="75"/>
      <c r="H17" s="75" t="n">
        <v>1632</v>
      </c>
      <c r="I17" s="75"/>
      <c r="J17" s="75"/>
      <c r="K17" s="75"/>
      <c r="L17" s="75"/>
      <c r="M17" s="75"/>
      <c r="N17" s="62" t="n">
        <f aca="false">M17+L17</f>
        <v>0</v>
      </c>
      <c r="O17" s="75"/>
      <c r="P17" s="75"/>
      <c r="R17" s="62" t="n">
        <f aca="false">[12]MAY_YTD!$H16</f>
        <v>3400</v>
      </c>
    </row>
    <row r="18" customFormat="false" ht="12.75" hidden="false" customHeight="true" outlineLevel="4" collapsed="false">
      <c r="A18" s="57" t="s">
        <v>53</v>
      </c>
      <c r="B18" s="63" t="n">
        <f aca="false">D18+R18</f>
        <v>-22395</v>
      </c>
      <c r="C18" s="58"/>
      <c r="D18" s="62" t="n">
        <f aca="false">SUM(E18:M18)+O18+P18</f>
        <v>-22549</v>
      </c>
      <c r="E18" s="64" t="n">
        <f aca="false">-4465-14700-5740</f>
        <v>-24905</v>
      </c>
      <c r="F18" s="64" t="n">
        <f aca="false">537+2317+1247</f>
        <v>4101</v>
      </c>
      <c r="G18" s="64" t="n">
        <v>0</v>
      </c>
      <c r="H18" s="64"/>
      <c r="I18" s="64" t="n">
        <v>1</v>
      </c>
      <c r="J18" s="64" t="n">
        <v>-139</v>
      </c>
      <c r="K18" s="64" t="n">
        <v>-1</v>
      </c>
      <c r="L18" s="64" t="n">
        <v>-2034</v>
      </c>
      <c r="M18" s="64"/>
      <c r="N18" s="62" t="n">
        <f aca="false">M18+L18</f>
        <v>-2034</v>
      </c>
      <c r="O18" s="64" t="n">
        <v>476</v>
      </c>
      <c r="P18" s="64" t="n">
        <v>-48</v>
      </c>
      <c r="R18" s="62" t="n">
        <f aca="false">[12]MAY_YTD!$H17</f>
        <v>154</v>
      </c>
    </row>
    <row r="19" customFormat="false" ht="12.75" hidden="false" customHeight="true" outlineLevel="4" collapsed="false">
      <c r="A19" s="57" t="s">
        <v>54</v>
      </c>
      <c r="B19" s="66" t="n">
        <f aca="false">SUM(B10:B18)</f>
        <v>133652.269</v>
      </c>
      <c r="C19" s="58"/>
      <c r="D19" s="66" t="n">
        <f aca="false">SUM(D10:D18)</f>
        <v>129357.88</v>
      </c>
      <c r="E19" s="66" t="n">
        <f aca="false">SUM(E10:E18)</f>
        <v>70810.488</v>
      </c>
      <c r="F19" s="66" t="n">
        <f aca="false">SUM(F10:F18)</f>
        <v>36751.356</v>
      </c>
      <c r="G19" s="66" t="n">
        <f aca="false">SUM(G10:G18)</f>
        <v>0</v>
      </c>
      <c r="H19" s="66" t="n">
        <f aca="false">SUM(H10:H18)</f>
        <v>1862.8</v>
      </c>
      <c r="I19" s="66" t="n">
        <f aca="false">SUM(I10:I18)</f>
        <v>-5.724</v>
      </c>
      <c r="J19" s="66" t="n">
        <f aca="false">SUM(J10:J18)</f>
        <v>276.6</v>
      </c>
      <c r="K19" s="66" t="n">
        <f aca="false">SUM(K10:K18)</f>
        <v>82.9099999999998</v>
      </c>
      <c r="L19" s="66" t="n">
        <f aca="false">SUM(L10:L18)</f>
        <v>-2013.2</v>
      </c>
      <c r="M19" s="66" t="n">
        <f aca="false">SUM(M10:M18)</f>
        <v>0</v>
      </c>
      <c r="N19" s="66" t="n">
        <f aca="false">SUM(N10:N18)</f>
        <v>-2013.2</v>
      </c>
      <c r="O19" s="66" t="n">
        <f aca="false">SUM(O10:O18)</f>
        <v>21686.203</v>
      </c>
      <c r="P19" s="66" t="n">
        <f aca="false">SUM(P10:P18)</f>
        <v>-93.553</v>
      </c>
      <c r="R19" s="66" t="n">
        <f aca="false">SUM(R10:R18)</f>
        <v>4294.389</v>
      </c>
    </row>
    <row r="20" customFormat="false" ht="12.75" hidden="false" customHeight="true" outlineLevel="4" collapsed="false">
      <c r="A20" s="57"/>
      <c r="B20" s="42"/>
      <c r="C20" s="58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R20" s="42"/>
    </row>
    <row r="21" customFormat="false" ht="12.75" hidden="false" customHeight="true" outlineLevel="4" collapsed="false">
      <c r="A21" s="57" t="s">
        <v>103</v>
      </c>
      <c r="B21" s="58"/>
      <c r="C21" s="58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R21" s="42"/>
    </row>
    <row r="22" customFormat="false" ht="12.75" hidden="false" customHeight="true" outlineLevel="4" collapsed="false">
      <c r="A22" s="57" t="s">
        <v>56</v>
      </c>
      <c r="B22" s="58" t="n">
        <f aca="false">D22+R22</f>
        <v>17840</v>
      </c>
      <c r="C22" s="58"/>
      <c r="D22" s="62" t="n">
        <f aca="false">SUM(E22:M22)+O22+P22</f>
        <v>15126</v>
      </c>
      <c r="E22" s="62" t="n">
        <v>30768</v>
      </c>
      <c r="F22" s="62" t="n">
        <v>-1148</v>
      </c>
      <c r="G22" s="62"/>
      <c r="H22" s="62" t="n">
        <v>-134</v>
      </c>
      <c r="I22" s="62" t="n">
        <v>12</v>
      </c>
      <c r="J22" s="62" t="n">
        <v>-768</v>
      </c>
      <c r="K22" s="62" t="n">
        <v>260</v>
      </c>
      <c r="L22" s="62" t="n">
        <v>26</v>
      </c>
      <c r="M22" s="62"/>
      <c r="N22" s="62" t="n">
        <f aca="false">M22+L22</f>
        <v>26</v>
      </c>
      <c r="O22" s="62" t="n">
        <v>-13868</v>
      </c>
      <c r="P22" s="62" t="n">
        <v>-22</v>
      </c>
      <c r="R22" s="62" t="n">
        <f aca="false">[12]MAY_YTD!$H20</f>
        <v>2714</v>
      </c>
    </row>
    <row r="23" customFormat="false" ht="12.75" hidden="false" customHeight="true" outlineLevel="4" collapsed="false">
      <c r="A23" s="57" t="s">
        <v>58</v>
      </c>
      <c r="B23" s="58" t="n">
        <f aca="false">D23+R23</f>
        <v>-6229</v>
      </c>
      <c r="C23" s="58"/>
      <c r="D23" s="62" t="n">
        <f aca="false">SUM(E23:M23)+O23+P23</f>
        <v>-6229</v>
      </c>
      <c r="E23" s="62" t="n">
        <v>2874</v>
      </c>
      <c r="F23" s="62" t="n">
        <v>-3610</v>
      </c>
      <c r="G23" s="62"/>
      <c r="H23" s="62"/>
      <c r="I23" s="62" t="n">
        <v>-2</v>
      </c>
      <c r="J23" s="62" t="n">
        <v>109</v>
      </c>
      <c r="K23" s="62" t="n">
        <v>-674</v>
      </c>
      <c r="L23" s="62" t="n">
        <v>3210</v>
      </c>
      <c r="M23" s="62"/>
      <c r="N23" s="62" t="n">
        <f aca="false">M23+L23</f>
        <v>3210</v>
      </c>
      <c r="O23" s="62" t="n">
        <v>-8447</v>
      </c>
      <c r="P23" s="62" t="n">
        <v>311</v>
      </c>
      <c r="R23" s="62" t="n">
        <f aca="false">[12]MAY_YTD!$H21</f>
        <v>0</v>
      </c>
    </row>
    <row r="24" customFormat="false" ht="12.75" hidden="false" customHeight="true" outlineLevel="4" collapsed="false">
      <c r="A24" s="57" t="s">
        <v>60</v>
      </c>
      <c r="B24" s="58" t="n">
        <f aca="false">D24+R24</f>
        <v>352</v>
      </c>
      <c r="C24" s="58"/>
      <c r="D24" s="62" t="n">
        <f aca="false">SUM(E24:M24)+O24+P24</f>
        <v>352</v>
      </c>
      <c r="E24" s="62" t="n">
        <v>51</v>
      </c>
      <c r="F24" s="62" t="n">
        <v>128</v>
      </c>
      <c r="G24" s="62"/>
      <c r="H24" s="62"/>
      <c r="I24" s="62"/>
      <c r="J24" s="62"/>
      <c r="K24" s="62"/>
      <c r="L24" s="62" t="n">
        <v>173</v>
      </c>
      <c r="M24" s="62"/>
      <c r="N24" s="62" t="n">
        <f aca="false">M24+L24</f>
        <v>173</v>
      </c>
      <c r="O24" s="62"/>
      <c r="P24" s="62"/>
      <c r="R24" s="62" t="n">
        <f aca="false">+[12]MAY_YTD!$H$22</f>
        <v>0</v>
      </c>
    </row>
    <row r="25" customFormat="false" ht="12.75" hidden="false" customHeight="true" outlineLevel="4" collapsed="false">
      <c r="A25" s="57" t="s">
        <v>61</v>
      </c>
      <c r="B25" s="58" t="n">
        <f aca="false">D25+R25</f>
        <v>4</v>
      </c>
      <c r="C25" s="58"/>
      <c r="D25" s="62" t="n">
        <f aca="false">SUM(E25:M25)+O25+P25</f>
        <v>4</v>
      </c>
      <c r="E25" s="62" t="n">
        <v>0</v>
      </c>
      <c r="F25" s="62" t="n">
        <v>4</v>
      </c>
      <c r="G25" s="62"/>
      <c r="H25" s="62"/>
      <c r="I25" s="62"/>
      <c r="J25" s="62"/>
      <c r="K25" s="62"/>
      <c r="L25" s="62"/>
      <c r="M25" s="62"/>
      <c r="N25" s="62" t="n">
        <f aca="false">M25+L25</f>
        <v>0</v>
      </c>
      <c r="O25" s="62"/>
      <c r="P25" s="62"/>
      <c r="R25" s="62" t="n">
        <f aca="false">[12]MAY_YTD!$H22</f>
        <v>0</v>
      </c>
    </row>
    <row r="26" customFormat="false" ht="12.75" hidden="false" customHeight="true" outlineLevel="4" collapsed="false">
      <c r="A26" s="57" t="s">
        <v>62</v>
      </c>
      <c r="B26" s="58" t="n">
        <f aca="false">D26+R26</f>
        <v>-13238</v>
      </c>
      <c r="C26" s="58"/>
      <c r="D26" s="62" t="n">
        <f aca="false">SUM(E26:M26)+O26+P26</f>
        <v>-13238</v>
      </c>
      <c r="E26" s="62" t="n">
        <v>-9382</v>
      </c>
      <c r="F26" s="62" t="n">
        <v>-1598</v>
      </c>
      <c r="G26" s="62"/>
      <c r="H26" s="62" t="n">
        <v>122</v>
      </c>
      <c r="I26" s="62"/>
      <c r="J26" s="62" t="n">
        <v>-1091</v>
      </c>
      <c r="K26" s="62" t="n">
        <v>-2</v>
      </c>
      <c r="L26" s="62" t="n">
        <v>-110</v>
      </c>
      <c r="M26" s="62"/>
      <c r="N26" s="62" t="n">
        <f aca="false">M26+L26</f>
        <v>-110</v>
      </c>
      <c r="O26" s="62" t="n">
        <v>-1071</v>
      </c>
      <c r="P26" s="62" t="n">
        <v>-106</v>
      </c>
      <c r="R26" s="62" t="n">
        <f aca="false">[12]MAY_YTD!$H23</f>
        <v>0</v>
      </c>
    </row>
    <row r="27" customFormat="false" ht="12.75" hidden="false" customHeight="true" outlineLevel="4" collapsed="false">
      <c r="A27" s="57" t="s">
        <v>104</v>
      </c>
      <c r="B27" s="58" t="n">
        <f aca="false">D27+R27</f>
        <v>-428</v>
      </c>
      <c r="C27" s="58"/>
      <c r="D27" s="62" t="n">
        <f aca="false">SUM(E27:M27)+O27+P27</f>
        <v>-425</v>
      </c>
      <c r="E27" s="62" t="n">
        <v>318</v>
      </c>
      <c r="F27" s="62" t="n">
        <v>-742</v>
      </c>
      <c r="G27" s="62"/>
      <c r="H27" s="62" t="n">
        <v>-1</v>
      </c>
      <c r="I27" s="62"/>
      <c r="J27" s="62"/>
      <c r="K27" s="62"/>
      <c r="L27" s="62"/>
      <c r="M27" s="62"/>
      <c r="N27" s="62" t="n">
        <f aca="false">M27+L27</f>
        <v>0</v>
      </c>
      <c r="O27" s="62"/>
      <c r="P27" s="62"/>
      <c r="R27" s="62" t="n">
        <f aca="false">[12]MAY_YTD!$H24</f>
        <v>-3</v>
      </c>
    </row>
    <row r="28" customFormat="false" ht="12.75" hidden="false" customHeight="true" outlineLevel="4" collapsed="false">
      <c r="A28" s="57" t="s">
        <v>64</v>
      </c>
      <c r="B28" s="58" t="n">
        <f aca="false">D28+R28</f>
        <v>-1070</v>
      </c>
      <c r="C28" s="58"/>
      <c r="D28" s="62" t="n">
        <f aca="false">SUM(E28:M28)+O28+P28</f>
        <v>-1215</v>
      </c>
      <c r="E28" s="62" t="n">
        <v>1048</v>
      </c>
      <c r="F28" s="62" t="n">
        <v>-990</v>
      </c>
      <c r="G28" s="62"/>
      <c r="H28" s="62"/>
      <c r="I28" s="62"/>
      <c r="J28" s="62" t="n">
        <v>-2</v>
      </c>
      <c r="K28" s="62" t="n">
        <v>-1</v>
      </c>
      <c r="L28" s="62" t="n">
        <v>-1262</v>
      </c>
      <c r="M28" s="62" t="n">
        <v>0</v>
      </c>
      <c r="N28" s="62" t="n">
        <f aca="false">M28+L28</f>
        <v>-1262</v>
      </c>
      <c r="O28" s="62" t="n">
        <v>-8</v>
      </c>
      <c r="P28" s="62"/>
      <c r="R28" s="62" t="n">
        <f aca="false">+[12]MAY_YTD!$H$26</f>
        <v>145</v>
      </c>
    </row>
    <row r="29" customFormat="false" ht="12.75" hidden="false" customHeight="true" outlineLevel="4" collapsed="false">
      <c r="A29" s="57" t="s">
        <v>65</v>
      </c>
      <c r="B29" s="58" t="n">
        <f aca="false">D29+R29</f>
        <v>3768</v>
      </c>
      <c r="C29" s="58"/>
      <c r="D29" s="62" t="n">
        <f aca="false">SUM(E29:M29)+O29+P29</f>
        <v>3768</v>
      </c>
      <c r="E29" s="75" t="n">
        <v>5875</v>
      </c>
      <c r="F29" s="75" t="n">
        <v>-2107</v>
      </c>
      <c r="G29" s="75"/>
      <c r="H29" s="75"/>
      <c r="I29" s="75"/>
      <c r="J29" s="75"/>
      <c r="K29" s="75"/>
      <c r="L29" s="75"/>
      <c r="M29" s="75"/>
      <c r="N29" s="62" t="n">
        <f aca="false">M29+L29</f>
        <v>0</v>
      </c>
      <c r="O29" s="75"/>
      <c r="P29" s="75"/>
      <c r="R29" s="62" t="n">
        <f aca="false">+[12]MAY_YTD!$H$27</f>
        <v>0</v>
      </c>
    </row>
    <row r="30" customFormat="false" ht="12.75" hidden="false" customHeight="true" outlineLevel="4" collapsed="false">
      <c r="A30" s="57" t="s">
        <v>66</v>
      </c>
      <c r="B30" s="63" t="n">
        <f aca="false">D30+R30</f>
        <v>-13895</v>
      </c>
      <c r="C30" s="58"/>
      <c r="D30" s="62" t="n">
        <f aca="false">SUM(E30:M30)+O30+P30</f>
        <v>-13895</v>
      </c>
      <c r="E30" s="64" t="n">
        <v>-11374</v>
      </c>
      <c r="F30" s="64" t="n">
        <v>-25</v>
      </c>
      <c r="G30" s="64"/>
      <c r="H30" s="64" t="n">
        <v>-96</v>
      </c>
      <c r="I30" s="64"/>
      <c r="J30" s="64"/>
      <c r="K30" s="64" t="n">
        <v>0</v>
      </c>
      <c r="L30" s="64" t="n">
        <v>3</v>
      </c>
      <c r="M30" s="64"/>
      <c r="N30" s="64" t="n">
        <f aca="false">M30+L30</f>
        <v>3</v>
      </c>
      <c r="O30" s="64" t="n">
        <v>-2403</v>
      </c>
      <c r="P30" s="64"/>
      <c r="R30" s="62" t="n">
        <f aca="false">+[12]MAY_YTD!$H$28</f>
        <v>0</v>
      </c>
    </row>
    <row r="31" customFormat="false" ht="12.75" hidden="false" customHeight="true" outlineLevel="4" collapsed="false">
      <c r="A31" s="57" t="s">
        <v>67</v>
      </c>
      <c r="B31" s="67" t="n">
        <f aca="false">SUM(B21:B30)</f>
        <v>-12896</v>
      </c>
      <c r="C31" s="68"/>
      <c r="D31" s="67" t="n">
        <f aca="false">SUM(D21:D30)</f>
        <v>-15752</v>
      </c>
      <c r="E31" s="67" t="n">
        <f aca="false">SUM(E21:E30)</f>
        <v>20178</v>
      </c>
      <c r="F31" s="67" t="n">
        <f aca="false">SUM(F21:F30)</f>
        <v>-10088</v>
      </c>
      <c r="G31" s="67" t="n">
        <f aca="false">SUM(G21:G30)</f>
        <v>0</v>
      </c>
      <c r="H31" s="67" t="n">
        <f aca="false">SUM(H21:H30)</f>
        <v>-109</v>
      </c>
      <c r="I31" s="67" t="n">
        <f aca="false">SUM(I21:I30)</f>
        <v>10</v>
      </c>
      <c r="J31" s="67" t="n">
        <f aca="false">SUM(J21:J30)</f>
        <v>-1752</v>
      </c>
      <c r="K31" s="67" t="n">
        <f aca="false">SUM(K21:K30)</f>
        <v>-417</v>
      </c>
      <c r="L31" s="67" t="n">
        <f aca="false">SUM(L21:L30)</f>
        <v>2040</v>
      </c>
      <c r="M31" s="67" t="n">
        <f aca="false">SUM(M21:M30)</f>
        <v>0</v>
      </c>
      <c r="N31" s="67" t="n">
        <f aca="false">SUM(N21:N30)</f>
        <v>2040</v>
      </c>
      <c r="O31" s="67" t="n">
        <f aca="false">SUM(O21:O30)</f>
        <v>-25797</v>
      </c>
      <c r="P31" s="67" t="n">
        <f aca="false">SUM(P21:P30)</f>
        <v>183</v>
      </c>
      <c r="R31" s="67" t="n">
        <f aca="false">SUM(R21:R30)</f>
        <v>2856</v>
      </c>
    </row>
    <row r="32" customFormat="false" ht="12.75" hidden="false" customHeight="true" outlineLevel="4" collapsed="false">
      <c r="A32" s="57"/>
      <c r="B32" s="69"/>
      <c r="C32" s="68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42"/>
      <c r="R32" s="69"/>
    </row>
    <row r="33" customFormat="false" ht="12.75" hidden="false" customHeight="true" outlineLevel="3" collapsed="false">
      <c r="A33" s="57" t="s">
        <v>68</v>
      </c>
      <c r="B33" s="70" t="n">
        <f aca="false">B19+B31</f>
        <v>120756.269</v>
      </c>
      <c r="C33" s="58"/>
      <c r="D33" s="70" t="n">
        <f aca="false">D19+D31</f>
        <v>113605.88</v>
      </c>
      <c r="E33" s="70" t="n">
        <f aca="false">E19+E31</f>
        <v>90988.488</v>
      </c>
      <c r="F33" s="70" t="n">
        <f aca="false">F19+F31</f>
        <v>26663.356</v>
      </c>
      <c r="G33" s="70" t="n">
        <f aca="false">G19+G31</f>
        <v>0</v>
      </c>
      <c r="H33" s="70" t="n">
        <f aca="false">H19+H31</f>
        <v>1753.8</v>
      </c>
      <c r="I33" s="70" t="n">
        <f aca="false">I19+I31</f>
        <v>4.276</v>
      </c>
      <c r="J33" s="70" t="n">
        <f aca="false">J19+J31</f>
        <v>-1475.4</v>
      </c>
      <c r="K33" s="70" t="n">
        <f aca="false">K19+K31</f>
        <v>-334.09</v>
      </c>
      <c r="L33" s="70" t="n">
        <f aca="false">L19+L31</f>
        <v>26.8</v>
      </c>
      <c r="M33" s="70" t="n">
        <f aca="false">M19+M31</f>
        <v>0</v>
      </c>
      <c r="N33" s="70" t="n">
        <f aca="false">N19+N31</f>
        <v>26.8</v>
      </c>
      <c r="O33" s="70" t="n">
        <f aca="false">O19+O31</f>
        <v>-4110.797</v>
      </c>
      <c r="P33" s="70" t="n">
        <f aca="false">P19+P31</f>
        <v>89.447</v>
      </c>
      <c r="R33" s="70" t="n">
        <f aca="false">R19+R31</f>
        <v>7150.389</v>
      </c>
    </row>
    <row r="34" customFormat="false" ht="12.75" hidden="false" customHeight="true" outlineLevel="3" collapsed="false">
      <c r="B34" s="58"/>
      <c r="C34" s="58"/>
    </row>
    <row r="35" customFormat="false" ht="12.75" hidden="false" customHeight="true" outlineLevel="3" collapsed="false">
      <c r="A35" s="61" t="s">
        <v>69</v>
      </c>
      <c r="B35" s="58"/>
      <c r="C35" s="58"/>
    </row>
    <row r="36" customFormat="false" ht="12.75" hidden="false" customHeight="true" outlineLevel="4" collapsed="false">
      <c r="A36" s="57" t="s">
        <v>70</v>
      </c>
      <c r="B36" s="58" t="n">
        <f aca="false">D36+R36</f>
        <v>5464</v>
      </c>
      <c r="C36" s="58"/>
      <c r="D36" s="62" t="n">
        <f aca="false">SUM(E36:M36)+O36+P36</f>
        <v>5464</v>
      </c>
      <c r="E36" s="76" t="n">
        <v>5464</v>
      </c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R36" s="76"/>
    </row>
    <row r="37" customFormat="false" ht="12.75" hidden="false" customHeight="true" outlineLevel="4" collapsed="false">
      <c r="A37" s="57" t="s">
        <v>71</v>
      </c>
      <c r="B37" s="58" t="n">
        <f aca="false">D37+R37</f>
        <v>-23456</v>
      </c>
      <c r="C37" s="58"/>
      <c r="D37" s="62" t="n">
        <f aca="false">SUM(E37:M37)+O37+P37</f>
        <v>-23456</v>
      </c>
      <c r="E37" s="76" t="n">
        <v>-13325</v>
      </c>
      <c r="F37" s="76" t="n">
        <v>-10131</v>
      </c>
      <c r="G37" s="76"/>
      <c r="H37" s="76"/>
      <c r="I37" s="76"/>
      <c r="J37" s="76"/>
      <c r="K37" s="76"/>
      <c r="L37" s="76"/>
      <c r="M37" s="76"/>
      <c r="N37" s="76"/>
      <c r="O37" s="76"/>
      <c r="P37" s="76"/>
      <c r="R37" s="76"/>
    </row>
    <row r="38" customFormat="false" ht="12.75" hidden="false" customHeight="true" outlineLevel="4" collapsed="false">
      <c r="A38" s="57" t="s">
        <v>105</v>
      </c>
      <c r="B38" s="58" t="n">
        <f aca="false">D38+R38</f>
        <v>18010</v>
      </c>
      <c r="C38" s="58"/>
      <c r="D38" s="62" t="n">
        <f aca="false">SUM(E38:M38)+O38+P38</f>
        <v>18010</v>
      </c>
      <c r="E38" s="76" t="n">
        <f aca="false">18252-288</f>
        <v>17964</v>
      </c>
      <c r="F38" s="76" t="n">
        <f aca="false">194-148</f>
        <v>46</v>
      </c>
      <c r="G38" s="76"/>
      <c r="H38" s="76"/>
      <c r="I38" s="76"/>
      <c r="J38" s="76"/>
      <c r="K38" s="76"/>
      <c r="L38" s="76"/>
      <c r="M38" s="76"/>
      <c r="N38" s="76"/>
      <c r="O38" s="76"/>
      <c r="P38" s="76"/>
      <c r="R38" s="76"/>
    </row>
    <row r="39" customFormat="false" ht="12.75" hidden="false" customHeight="true" outlineLevel="4" collapsed="false">
      <c r="A39" s="57" t="s">
        <v>106</v>
      </c>
      <c r="B39" s="58" t="n">
        <f aca="false">D39+R39</f>
        <v>-6770</v>
      </c>
      <c r="C39" s="58"/>
      <c r="D39" s="62" t="n">
        <f aca="false">SUM(E39:P39)</f>
        <v>0</v>
      </c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R39" s="76" t="n">
        <f aca="false">[12]MAY_YTD!$H$37</f>
        <v>-6770</v>
      </c>
    </row>
    <row r="40" customFormat="false" ht="12.75" hidden="false" customHeight="true" outlineLevel="4" collapsed="false">
      <c r="A40" s="57" t="s">
        <v>76</v>
      </c>
      <c r="B40" s="58" t="n">
        <f aca="false">D40+R40</f>
        <v>0</v>
      </c>
      <c r="C40" s="58"/>
      <c r="D40" s="62" t="n">
        <f aca="false">SUM(E40:P40)</f>
        <v>0</v>
      </c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R40" s="76"/>
    </row>
    <row r="41" customFormat="false" ht="12.75" hidden="false" customHeight="true" outlineLevel="4" collapsed="false">
      <c r="A41" s="57" t="s">
        <v>77</v>
      </c>
      <c r="B41" s="63" t="n">
        <f aca="false">D41+R41</f>
        <v>-3</v>
      </c>
      <c r="C41" s="58"/>
      <c r="D41" s="64" t="n">
        <f aca="false">SUM(E41:M41)+O41+P41</f>
        <v>-3</v>
      </c>
      <c r="E41" s="64" t="n">
        <v>-3</v>
      </c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R41" s="64"/>
    </row>
    <row r="42" customFormat="false" ht="12.75" hidden="false" customHeight="true" outlineLevel="3" collapsed="false">
      <c r="A42" s="57" t="s">
        <v>78</v>
      </c>
      <c r="B42" s="70" t="n">
        <f aca="false">SUM(B36:B41)</f>
        <v>-6755</v>
      </c>
      <c r="C42" s="71" t="n">
        <f aca="false">SUM(C36:C41)</f>
        <v>0</v>
      </c>
      <c r="D42" s="70" t="n">
        <f aca="false">SUM(D36:D41)</f>
        <v>15</v>
      </c>
      <c r="E42" s="70" t="n">
        <f aca="false">SUM(E36:E41)</f>
        <v>10100</v>
      </c>
      <c r="F42" s="70" t="n">
        <f aca="false">SUM(F36:F41)</f>
        <v>-10085</v>
      </c>
      <c r="G42" s="70" t="n">
        <f aca="false">SUM(G36:G41)</f>
        <v>0</v>
      </c>
      <c r="H42" s="70" t="n">
        <f aca="false">SUM(H36:H41)</f>
        <v>0</v>
      </c>
      <c r="I42" s="70" t="n">
        <f aca="false">SUM(I36:I41)</f>
        <v>0</v>
      </c>
      <c r="J42" s="70" t="n">
        <f aca="false">SUM(J36:J41)</f>
        <v>0</v>
      </c>
      <c r="K42" s="70" t="n">
        <f aca="false">SUM(K36:K41)</f>
        <v>0</v>
      </c>
      <c r="L42" s="70" t="n">
        <f aca="false">SUM(L36:L41)</f>
        <v>0</v>
      </c>
      <c r="M42" s="70" t="n">
        <f aca="false">SUM(M36:M41)</f>
        <v>0</v>
      </c>
      <c r="N42" s="70"/>
      <c r="O42" s="70" t="n">
        <f aca="false">SUM(O36:O41)</f>
        <v>0</v>
      </c>
      <c r="P42" s="70" t="n">
        <f aca="false">SUM(P36:P41)</f>
        <v>0</v>
      </c>
      <c r="R42" s="70" t="n">
        <f aca="false">SUM(R36:R41)</f>
        <v>-6770</v>
      </c>
    </row>
    <row r="43" customFormat="false" ht="12.75" hidden="false" customHeight="true" outlineLevel="3" collapsed="false">
      <c r="B43" s="58"/>
      <c r="C43" s="58"/>
    </row>
    <row r="44" customFormat="false" ht="12.75" hidden="false" customHeight="true" outlineLevel="3" collapsed="false">
      <c r="A44" s="61" t="s">
        <v>79</v>
      </c>
      <c r="B44" s="58"/>
      <c r="C44" s="58"/>
    </row>
    <row r="45" customFormat="false" ht="12.75" hidden="false" customHeight="true" outlineLevel="4" collapsed="false">
      <c r="A45" s="57" t="s">
        <v>80</v>
      </c>
      <c r="B45" s="58" t="n">
        <f aca="false">D45+R45</f>
        <v>0</v>
      </c>
      <c r="C45" s="58"/>
      <c r="D45" s="62" t="n">
        <f aca="false">SUM(E45:P45)</f>
        <v>0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R45" s="62"/>
    </row>
    <row r="46" customFormat="false" ht="12.75" hidden="false" customHeight="true" outlineLevel="4" collapsed="false">
      <c r="A46" s="57" t="s">
        <v>81</v>
      </c>
      <c r="B46" s="58" t="n">
        <f aca="false">D46+R46</f>
        <v>150000</v>
      </c>
      <c r="C46" s="58"/>
      <c r="D46" s="62" t="n">
        <f aca="false">SUM(E46:M46)+O46+P46</f>
        <v>150000</v>
      </c>
      <c r="E46" s="62" t="n">
        <v>0</v>
      </c>
      <c r="F46" s="62" t="n">
        <v>150000</v>
      </c>
      <c r="G46" s="62"/>
      <c r="H46" s="62"/>
      <c r="I46" s="62"/>
      <c r="J46" s="62"/>
      <c r="K46" s="62"/>
      <c r="L46" s="62"/>
      <c r="M46" s="62"/>
      <c r="N46" s="62"/>
      <c r="O46" s="62"/>
      <c r="P46" s="62"/>
      <c r="R46" s="62"/>
    </row>
    <row r="47" customFormat="false" ht="12.75" hidden="false" customHeight="true" outlineLevel="4" collapsed="false">
      <c r="A47" s="57" t="s">
        <v>83</v>
      </c>
      <c r="B47" s="58" t="n">
        <f aca="false">D47+R47</f>
        <v>-123000</v>
      </c>
      <c r="C47" s="58"/>
      <c r="D47" s="62" t="n">
        <f aca="false">SUM(E47:P47)</f>
        <v>-123000</v>
      </c>
      <c r="E47" s="62"/>
      <c r="F47" s="62" t="n">
        <v>-123000</v>
      </c>
      <c r="G47" s="62"/>
      <c r="H47" s="62"/>
      <c r="I47" s="62"/>
      <c r="J47" s="62"/>
      <c r="K47" s="62"/>
      <c r="L47" s="62"/>
      <c r="M47" s="62"/>
      <c r="N47" s="62"/>
      <c r="O47" s="62"/>
      <c r="P47" s="62"/>
      <c r="R47" s="62"/>
    </row>
    <row r="48" customFormat="false" ht="12.75" hidden="false" customHeight="true" outlineLevel="4" collapsed="false">
      <c r="A48" s="57" t="s">
        <v>84</v>
      </c>
      <c r="B48" s="58" t="n">
        <f aca="false">D48+R48</f>
        <v>0</v>
      </c>
      <c r="C48" s="58"/>
      <c r="D48" s="62" t="n">
        <f aca="false">SUM(E48:M48)+O48+P48</f>
        <v>0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R48" s="62"/>
    </row>
    <row r="49" customFormat="false" ht="12.75" hidden="false" customHeight="true" outlineLevel="4" collapsed="false">
      <c r="A49" s="57" t="s">
        <v>107</v>
      </c>
      <c r="B49" s="58" t="n">
        <f aca="false">D49+R49</f>
        <v>0</v>
      </c>
      <c r="C49" s="58"/>
      <c r="D49" s="62" t="n">
        <f aca="false">SUM(E49:P49)</f>
        <v>0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R49" s="75"/>
    </row>
    <row r="50" customFormat="false" ht="12.75" hidden="false" customHeight="true" outlineLevel="3" collapsed="false">
      <c r="A50" s="57" t="s">
        <v>86</v>
      </c>
      <c r="B50" s="72" t="n">
        <f aca="false">SUM(B45:B49)</f>
        <v>27000</v>
      </c>
      <c r="C50" s="58"/>
      <c r="D50" s="72" t="n">
        <f aca="false">SUM(D45:D49)</f>
        <v>27000</v>
      </c>
      <c r="E50" s="72" t="n">
        <f aca="false">SUM(E45:E49)</f>
        <v>0</v>
      </c>
      <c r="F50" s="72" t="n">
        <f aca="false">SUM(F45:F49)</f>
        <v>27000</v>
      </c>
      <c r="G50" s="72" t="n">
        <f aca="false">SUM(G45:G49)</f>
        <v>0</v>
      </c>
      <c r="H50" s="72" t="n">
        <f aca="false">SUM(H45:H49)</f>
        <v>0</v>
      </c>
      <c r="I50" s="72" t="n">
        <f aca="false">SUM(I45:I49)</f>
        <v>0</v>
      </c>
      <c r="J50" s="72" t="n">
        <f aca="false">SUM(J45:J49)</f>
        <v>0</v>
      </c>
      <c r="K50" s="72" t="n">
        <f aca="false">SUM(K45:K49)</f>
        <v>0</v>
      </c>
      <c r="L50" s="72" t="n">
        <f aca="false">SUM(L45:L49)</f>
        <v>0</v>
      </c>
      <c r="M50" s="72" t="n">
        <f aca="false">SUM(M45:M49)</f>
        <v>0</v>
      </c>
      <c r="N50" s="72"/>
      <c r="O50" s="72" t="n">
        <f aca="false">SUM(O45:O49)</f>
        <v>0</v>
      </c>
      <c r="P50" s="72" t="n">
        <f aca="false">SUM(P45:P49)</f>
        <v>0</v>
      </c>
      <c r="R50" s="72" t="n">
        <f aca="false">SUM(R45:R49)</f>
        <v>0</v>
      </c>
    </row>
    <row r="51" customFormat="false" ht="12.75" hidden="false" customHeight="true" outlineLevel="3" collapsed="false">
      <c r="A51" s="57"/>
      <c r="B51" s="71"/>
      <c r="C51" s="58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R51" s="71"/>
    </row>
    <row r="52" customFormat="false" ht="12.75" hidden="false" customHeight="true" outlineLevel="2" collapsed="false">
      <c r="A52" s="57" t="s">
        <v>87</v>
      </c>
      <c r="B52" s="71" t="n">
        <f aca="false">B33+B42+B50</f>
        <v>141001.269</v>
      </c>
      <c r="C52" s="58"/>
      <c r="D52" s="71" t="n">
        <f aca="false">D33+D42+D50</f>
        <v>140620.88</v>
      </c>
      <c r="E52" s="71" t="n">
        <f aca="false">E33+E42+E50</f>
        <v>101088.488</v>
      </c>
      <c r="F52" s="71" t="n">
        <f aca="false">F33+F42+F50</f>
        <v>43578.356</v>
      </c>
      <c r="G52" s="71" t="n">
        <f aca="false">G33+G42+G50</f>
        <v>0</v>
      </c>
      <c r="H52" s="71" t="n">
        <f aca="false">H33+H42+H50</f>
        <v>1753.8</v>
      </c>
      <c r="I52" s="71" t="n">
        <f aca="false">I33+I42+I50</f>
        <v>4.276</v>
      </c>
      <c r="J52" s="71" t="n">
        <f aca="false">J33+J42+J50</f>
        <v>-1475.4</v>
      </c>
      <c r="K52" s="71" t="n">
        <f aca="false">K33+K42+K50</f>
        <v>-334.09</v>
      </c>
      <c r="L52" s="71" t="n">
        <f aca="false">L33+L42+L50</f>
        <v>26.8</v>
      </c>
      <c r="M52" s="71" t="n">
        <f aca="false">M33+M42+M50</f>
        <v>0</v>
      </c>
      <c r="N52" s="71" t="n">
        <f aca="false">M52+L52</f>
        <v>26.8</v>
      </c>
      <c r="O52" s="71" t="n">
        <f aca="false">O33+O42+O50</f>
        <v>-4110.797</v>
      </c>
      <c r="P52" s="71" t="n">
        <f aca="false">P33+P42+P50</f>
        <v>89.447</v>
      </c>
      <c r="R52" s="71" t="n">
        <f aca="false">R33+R42+R50</f>
        <v>380.389</v>
      </c>
    </row>
    <row r="53" customFormat="false" ht="12.75" hidden="false" customHeight="true" outlineLevel="2" collapsed="false">
      <c r="A53" s="57"/>
      <c r="B53" s="71"/>
      <c r="C53" s="58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R53" s="71"/>
    </row>
    <row r="54" customFormat="false" ht="12.75" hidden="false" customHeight="true" outlineLevel="2" collapsed="false">
      <c r="A54" s="57" t="s">
        <v>88</v>
      </c>
      <c r="B54" s="63" t="n">
        <f aca="false">D54+R54</f>
        <v>-3538</v>
      </c>
      <c r="C54" s="58"/>
      <c r="D54" s="64" t="n">
        <f aca="false">SUM(E54:M54)+O54+P54</f>
        <v>0</v>
      </c>
      <c r="E54" s="77" t="n">
        <v>0</v>
      </c>
      <c r="F54" s="77" t="n">
        <v>0</v>
      </c>
      <c r="G54" s="77" t="n">
        <v>0</v>
      </c>
      <c r="H54" s="77" t="n">
        <v>0</v>
      </c>
      <c r="I54" s="77" t="n">
        <v>0</v>
      </c>
      <c r="J54" s="77" t="n">
        <v>0</v>
      </c>
      <c r="K54" s="77" t="n">
        <v>0</v>
      </c>
      <c r="L54" s="77" t="n">
        <v>0</v>
      </c>
      <c r="M54" s="77" t="n">
        <v>0</v>
      </c>
      <c r="N54" s="77"/>
      <c r="O54" s="77" t="n">
        <v>0</v>
      </c>
      <c r="P54" s="77" t="n">
        <v>0</v>
      </c>
      <c r="R54" s="77" t="n">
        <f aca="false">[12]MAY_YTD!$H$50</f>
        <v>-3538</v>
      </c>
    </row>
    <row r="55" customFormat="false" ht="12.75" hidden="false" customHeight="true" outlineLevel="2" collapsed="false">
      <c r="A55" s="57"/>
      <c r="B55" s="58"/>
      <c r="C55" s="58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R55" s="73"/>
    </row>
    <row r="56" customFormat="false" ht="12.75" hidden="false" customHeight="true" outlineLevel="1" collapsed="false">
      <c r="A56" s="57" t="s">
        <v>89</v>
      </c>
      <c r="B56" s="74" t="n">
        <f aca="false">B54+B52</f>
        <v>137463.269</v>
      </c>
      <c r="C56" s="58"/>
      <c r="D56" s="74" t="n">
        <f aca="false">D54+D52</f>
        <v>140620.88</v>
      </c>
      <c r="E56" s="74" t="n">
        <f aca="false">E54+E52</f>
        <v>101088.488</v>
      </c>
      <c r="F56" s="74" t="n">
        <f aca="false">F54+F52</f>
        <v>43578.356</v>
      </c>
      <c r="G56" s="74" t="n">
        <f aca="false">G54+G52</f>
        <v>0</v>
      </c>
      <c r="H56" s="74" t="n">
        <f aca="false">H54+H52</f>
        <v>1753.8</v>
      </c>
      <c r="I56" s="74" t="n">
        <f aca="false">I54+I52</f>
        <v>4.276</v>
      </c>
      <c r="J56" s="74" t="n">
        <f aca="false">J54+J52</f>
        <v>-1475.4</v>
      </c>
      <c r="K56" s="74" t="n">
        <f aca="false">K54+K52</f>
        <v>-334.09</v>
      </c>
      <c r="L56" s="74" t="n">
        <f aca="false">L52-L54</f>
        <v>26.8</v>
      </c>
      <c r="M56" s="74" t="n">
        <f aca="false">M52-M54</f>
        <v>0</v>
      </c>
      <c r="N56" s="74" t="n">
        <f aca="false">N54+N52</f>
        <v>26.8</v>
      </c>
      <c r="O56" s="74" t="n">
        <f aca="false">O54+O52</f>
        <v>-4110.797</v>
      </c>
      <c r="P56" s="74" t="n">
        <f aca="false">P54+P52</f>
        <v>89.447</v>
      </c>
      <c r="R56" s="74" t="n">
        <f aca="false">+R52-R54</f>
        <v>3918.389</v>
      </c>
    </row>
    <row r="57" customFormat="false" ht="12.75" hidden="false" customHeight="true" outlineLevel="1" collapsed="false">
      <c r="B57" s="42"/>
      <c r="C57" s="42"/>
    </row>
    <row r="58" customFormat="false" ht="12.75" hidden="false" customHeight="true" outlineLevel="0" collapsed="false">
      <c r="A58" s="40" t="s">
        <v>90</v>
      </c>
      <c r="B58" s="64" t="n">
        <f aca="false">D58+R58</f>
        <v>-27034</v>
      </c>
      <c r="C58" s="42"/>
      <c r="D58" s="64" t="n">
        <f aca="false">SUM(E58:P58)</f>
        <v>-27034</v>
      </c>
      <c r="E58" s="77" t="n">
        <v>-33</v>
      </c>
      <c r="F58" s="77" t="n">
        <v>-27000</v>
      </c>
      <c r="G58" s="77" t="n">
        <v>0</v>
      </c>
      <c r="H58" s="77" t="n">
        <v>0</v>
      </c>
      <c r="I58" s="77" t="n">
        <v>173</v>
      </c>
      <c r="J58" s="77" t="n">
        <v>-231</v>
      </c>
      <c r="K58" s="77" t="n">
        <v>57</v>
      </c>
      <c r="L58" s="77" t="n">
        <v>0</v>
      </c>
      <c r="M58" s="77" t="n">
        <v>0</v>
      </c>
      <c r="N58" s="77"/>
      <c r="O58" s="77" t="n">
        <v>0</v>
      </c>
      <c r="P58" s="77" t="n">
        <v>0</v>
      </c>
      <c r="R58" s="77" t="n">
        <v>0</v>
      </c>
    </row>
    <row r="59" customFormat="false" ht="12.75" hidden="false" customHeight="true" outlineLevel="0" collapsed="false">
      <c r="B59" s="42"/>
      <c r="C59" s="42"/>
    </row>
    <row r="60" customFormat="false" ht="12.75" hidden="false" customHeight="true" outlineLevel="0" collapsed="false">
      <c r="A60" s="40" t="s">
        <v>91</v>
      </c>
      <c r="B60" s="74" t="n">
        <f aca="false">B56+B58</f>
        <v>110429.269</v>
      </c>
      <c r="C60" s="42"/>
      <c r="D60" s="74" t="n">
        <f aca="false">D56+D58</f>
        <v>113586.88</v>
      </c>
      <c r="E60" s="74" t="n">
        <f aca="false">E56+E58</f>
        <v>101055.488</v>
      </c>
      <c r="F60" s="74" t="n">
        <f aca="false">F56+F58</f>
        <v>16578.356</v>
      </c>
      <c r="G60" s="74" t="n">
        <f aca="false">G56+G58</f>
        <v>0</v>
      </c>
      <c r="H60" s="74" t="n">
        <f aca="false">H56+H58</f>
        <v>1753.8</v>
      </c>
      <c r="I60" s="74" t="n">
        <f aca="false">I56+I58</f>
        <v>177.276</v>
      </c>
      <c r="J60" s="74" t="n">
        <f aca="false">J56+J58</f>
        <v>-1706.4</v>
      </c>
      <c r="K60" s="74" t="n">
        <f aca="false">K56+K58</f>
        <v>-277.09</v>
      </c>
      <c r="L60" s="74" t="n">
        <f aca="false">L56+L58</f>
        <v>26.8</v>
      </c>
      <c r="M60" s="74" t="n">
        <f aca="false">M56+M58</f>
        <v>0</v>
      </c>
      <c r="N60" s="74" t="n">
        <f aca="false">M60+L60</f>
        <v>26.8</v>
      </c>
      <c r="O60" s="74" t="n">
        <f aca="false">O56+O58</f>
        <v>-4110.797</v>
      </c>
      <c r="P60" s="74" t="n">
        <f aca="false">P56+P58</f>
        <v>89.447</v>
      </c>
      <c r="R60" s="74" t="n">
        <f aca="false">R56+R58</f>
        <v>3918.389</v>
      </c>
    </row>
    <row r="61" customFormat="false" ht="12.75" hidden="false" customHeight="true" outlineLevel="0" collapsed="false">
      <c r="B61" s="42"/>
      <c r="C61" s="42"/>
    </row>
    <row r="62" customFormat="false" ht="12.75" hidden="false" customHeight="true" outlineLevel="0" collapsed="false">
      <c r="B62" s="42"/>
      <c r="C62" s="42"/>
    </row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</sheetData>
  <printOptions headings="false" gridLines="false" gridLinesSet="true" horizontalCentered="false" verticalCentered="false"/>
  <pageMargins left="0.370138888888889" right="0.359722222222222" top="0.559722222222222" bottom="0.459722222222222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8.9921875" defaultRowHeight="12.75" customHeight="true" zeroHeight="false" outlineLevelRow="4" outlineLevelCol="0"/>
  <cols>
    <col collapsed="false" customWidth="true" hidden="false" outlineLevel="0" max="1" min="1" style="40" width="67.99"/>
    <col collapsed="false" customWidth="true" hidden="false" outlineLevel="0" max="2" min="2" style="40" width="14.49"/>
    <col collapsed="false" customWidth="true" hidden="false" outlineLevel="0" max="3" min="3" style="40" width="1.82"/>
    <col collapsed="false" customWidth="true" hidden="false" outlineLevel="0" max="4" min="4" style="40" width="11.82"/>
    <col collapsed="false" customWidth="true" hidden="false" outlineLevel="0" max="5" min="5" style="40" width="10.65"/>
    <col collapsed="false" customWidth="true" hidden="false" outlineLevel="0" max="6" min="6" style="40" width="10.82"/>
    <col collapsed="false" customWidth="true" hidden="false" outlineLevel="0" max="7" min="7" style="40" width="12.82"/>
    <col collapsed="false" customWidth="true" hidden="false" outlineLevel="0" max="11" min="8" style="40" width="10.82"/>
    <col collapsed="false" customWidth="true" hidden="true" outlineLevel="0" max="13" min="12" style="40" width="10.82"/>
    <col collapsed="false" customWidth="true" hidden="false" outlineLevel="0" max="15" min="14" style="40" width="12.16"/>
    <col collapsed="false" customWidth="true" hidden="false" outlineLevel="0" max="16" min="16" style="40" width="10.82"/>
    <col collapsed="false" customWidth="true" hidden="false" outlineLevel="0" max="17" min="17" style="40" width="3.65"/>
    <col collapsed="false" customWidth="true" hidden="false" outlineLevel="0" max="18" min="18" style="40" width="9.82"/>
    <col collapsed="false" customWidth="false" hidden="false" outlineLevel="0" max="257" min="19" style="40" width="8.99"/>
  </cols>
  <sheetData>
    <row r="1" customFormat="false" ht="12.75" hidden="false" customHeight="true" outlineLevel="0" collapsed="false">
      <c r="A1" s="41" t="s">
        <v>18</v>
      </c>
      <c r="B1" s="42"/>
      <c r="C1" s="42"/>
      <c r="D1" s="42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customFormat="false" ht="12.75" hidden="false" customHeight="true" outlineLevel="0" collapsed="false">
      <c r="A2" s="44" t="s">
        <v>19</v>
      </c>
      <c r="D2" s="45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customFormat="false" ht="12.75" hidden="false" customHeight="true" outlineLevel="0" collapsed="false">
      <c r="A3" s="47" t="s">
        <v>117</v>
      </c>
      <c r="B3" s="42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</row>
    <row r="4" customFormat="false" ht="12.75" hidden="false" customHeight="true" outlineLevel="0" collapsed="false">
      <c r="A4" s="42"/>
      <c r="B4" s="49" t="s">
        <v>97</v>
      </c>
      <c r="C4" s="50"/>
      <c r="D4" s="51"/>
      <c r="I4" s="52" t="s">
        <v>98</v>
      </c>
      <c r="J4" s="52" t="s">
        <v>28</v>
      </c>
      <c r="K4" s="52" t="s">
        <v>29</v>
      </c>
      <c r="L4" s="52" t="s">
        <v>30</v>
      </c>
      <c r="M4" s="52" t="s">
        <v>31</v>
      </c>
      <c r="N4" s="52" t="s">
        <v>30</v>
      </c>
      <c r="O4" s="52" t="s">
        <v>32</v>
      </c>
      <c r="R4" s="53" t="s">
        <v>21</v>
      </c>
    </row>
    <row r="5" customFormat="false" ht="12.75" hidden="false" customHeight="true" outlineLevel="0" collapsed="false">
      <c r="A5" s="54" t="s">
        <v>34</v>
      </c>
      <c r="B5" s="55" t="s">
        <v>100</v>
      </c>
      <c r="C5" s="52"/>
      <c r="D5" s="51" t="s">
        <v>35</v>
      </c>
      <c r="E5" s="51" t="s">
        <v>22</v>
      </c>
      <c r="F5" s="51" t="s">
        <v>23</v>
      </c>
      <c r="G5" s="51" t="s">
        <v>24</v>
      </c>
      <c r="H5" s="51" t="s">
        <v>25</v>
      </c>
      <c r="I5" s="51" t="n">
        <v>543</v>
      </c>
      <c r="J5" s="51" t="n">
        <v>584</v>
      </c>
      <c r="K5" s="51" t="n">
        <v>583</v>
      </c>
      <c r="L5" s="51" t="s">
        <v>36</v>
      </c>
      <c r="M5" s="51"/>
      <c r="N5" s="51" t="s">
        <v>37</v>
      </c>
      <c r="O5" s="51" t="s">
        <v>38</v>
      </c>
      <c r="P5" s="51" t="s">
        <v>33</v>
      </c>
      <c r="R5" s="56" t="s">
        <v>102</v>
      </c>
    </row>
    <row r="6" customFormat="false" ht="12.75" hidden="false" customHeight="true" outlineLevel="2" collapsed="false">
      <c r="A6" s="57"/>
      <c r="B6" s="58"/>
      <c r="C6" s="58"/>
      <c r="D6" s="59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</row>
    <row r="7" customFormat="false" ht="12.75" hidden="false" customHeight="true" outlineLevel="4" collapsed="false">
      <c r="A7" s="61" t="s">
        <v>39</v>
      </c>
      <c r="B7" s="58"/>
      <c r="C7" s="58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</row>
    <row r="8" customFormat="false" ht="12.75" hidden="false" customHeight="true" outlineLevel="4" collapsed="false">
      <c r="A8" s="57" t="s">
        <v>40</v>
      </c>
      <c r="B8" s="58" t="n">
        <f aca="false">D8+R8</f>
        <v>13704.029</v>
      </c>
      <c r="C8" s="58"/>
      <c r="D8" s="62" t="n">
        <f aca="false">SUM(E8:M8)+O8+P8</f>
        <v>13204.695</v>
      </c>
      <c r="E8" s="62" t="n">
        <f aca="false">AprYTD!E8-MarYTD!E8</f>
        <v>1369.92599999999</v>
      </c>
      <c r="F8" s="62" t="n">
        <f aca="false">AprYTD!F8-MarYTD!F8</f>
        <v>5146.399</v>
      </c>
      <c r="G8" s="62" t="n">
        <f aca="false">AprYTD!G8-MarYTD!G8</f>
        <v>5276.493</v>
      </c>
      <c r="H8" s="62" t="n">
        <f aca="false">AprYTD!H8-MarYTD!H8</f>
        <v>221.387</v>
      </c>
      <c r="I8" s="62" t="n">
        <f aca="false">AprYTD!I8-MarYTD!I8</f>
        <v>-0.0559999999999988</v>
      </c>
      <c r="J8" s="62" t="n">
        <f aca="false">AprYTD!J8-MarYTD!J8</f>
        <v>-271.713</v>
      </c>
      <c r="K8" s="62" t="n">
        <f aca="false">AprYTD!K8-MarYTD!K8</f>
        <v>19.942</v>
      </c>
      <c r="L8" s="62" t="n">
        <f aca="false">AprYTD!L8-MarYTD!L8</f>
        <v>-0.536999999999999</v>
      </c>
      <c r="M8" s="62" t="n">
        <f aca="false">AprYTD!M8-MarYTD!M8</f>
        <v>0</v>
      </c>
      <c r="N8" s="62" t="n">
        <f aca="false">M8+L8</f>
        <v>-0.536999999999999</v>
      </c>
      <c r="O8" s="62" t="n">
        <f aca="false">AprYTD!O8-MarYTD!O8</f>
        <v>1442.853</v>
      </c>
      <c r="P8" s="62" t="n">
        <f aca="false">AprYTD!P8-MarYTD!P8</f>
        <v>0.000999999999999446</v>
      </c>
      <c r="R8" s="62" t="n">
        <f aca="false">AprYTD!R8-MarYTD!R8</f>
        <v>499.334</v>
      </c>
    </row>
    <row r="9" customFormat="false" ht="12.75" hidden="false" customHeight="true" outlineLevel="4" collapsed="false">
      <c r="A9" s="57" t="s">
        <v>41</v>
      </c>
      <c r="B9" s="63" t="n">
        <f aca="false">D9+R9</f>
        <v>1554.295</v>
      </c>
      <c r="C9" s="58"/>
      <c r="D9" s="64" t="n">
        <f aca="false">SUM(E9:M9)+O9+P9</f>
        <v>1554.295</v>
      </c>
      <c r="E9" s="64" t="n">
        <f aca="false">AprYTD!E9-MarYTD!E9</f>
        <v>-1219.36</v>
      </c>
      <c r="F9" s="64" t="n">
        <f aca="false">AprYTD!F9-MarYTD!F9</f>
        <v>-592.28</v>
      </c>
      <c r="G9" s="64" t="n">
        <f aca="false">AprYTD!G9-MarYTD!G9</f>
        <v>0</v>
      </c>
      <c r="H9" s="64" t="n">
        <f aca="false">AprYTD!H9-MarYTD!H9</f>
        <v>292.656</v>
      </c>
      <c r="I9" s="64" t="n">
        <f aca="false">AprYTD!I9-MarYTD!I9</f>
        <v>0</v>
      </c>
      <c r="J9" s="64" t="n">
        <f aca="false">AprYTD!J9-MarYTD!J9</f>
        <v>27.117</v>
      </c>
      <c r="K9" s="64" t="n">
        <f aca="false">AprYTD!K9-MarYTD!K9</f>
        <v>0</v>
      </c>
      <c r="L9" s="64" t="n">
        <f aca="false">AprYTD!L9-MarYTD!L9</f>
        <v>0</v>
      </c>
      <c r="M9" s="64" t="n">
        <f aca="false">AprYTD!M9-MarYTD!M9</f>
        <v>0</v>
      </c>
      <c r="N9" s="64" t="n">
        <f aca="false">M9+L9</f>
        <v>0</v>
      </c>
      <c r="O9" s="64" t="n">
        <f aca="false">AprYTD!O9-MarYTD!O9</f>
        <v>3046.162</v>
      </c>
      <c r="P9" s="64" t="n">
        <f aca="false">AprYTD!P9-MarYTD!P9</f>
        <v>0</v>
      </c>
      <c r="R9" s="50"/>
    </row>
    <row r="10" customFormat="false" ht="12.75" hidden="false" customHeight="true" outlineLevel="4" collapsed="false">
      <c r="A10" s="57" t="s">
        <v>42</v>
      </c>
      <c r="B10" s="65" t="n">
        <f aca="false">B8+B9</f>
        <v>15258.324</v>
      </c>
      <c r="C10" s="58"/>
      <c r="D10" s="65" t="n">
        <f aca="false">D8+D9</f>
        <v>14758.99</v>
      </c>
      <c r="E10" s="65" t="n">
        <f aca="false">E8+E9</f>
        <v>150.565999999984</v>
      </c>
      <c r="F10" s="65" t="n">
        <f aca="false">F8+F9</f>
        <v>4554.119</v>
      </c>
      <c r="G10" s="65" t="n">
        <f aca="false">G8+G9</f>
        <v>5276.493</v>
      </c>
      <c r="H10" s="65" t="n">
        <f aca="false">H8+H9</f>
        <v>514.043</v>
      </c>
      <c r="I10" s="65" t="n">
        <f aca="false">I8+I9</f>
        <v>-0.0559999999999988</v>
      </c>
      <c r="J10" s="65" t="n">
        <f aca="false">J8+J9</f>
        <v>-244.596</v>
      </c>
      <c r="K10" s="65" t="n">
        <f aca="false">K8+K9</f>
        <v>19.942</v>
      </c>
      <c r="L10" s="65" t="n">
        <f aca="false">L8+L9</f>
        <v>-0.536999999999999</v>
      </c>
      <c r="M10" s="65" t="n">
        <f aca="false">M8+M9</f>
        <v>0</v>
      </c>
      <c r="N10" s="65" t="n">
        <f aca="false">N8</f>
        <v>-0.536999999999999</v>
      </c>
      <c r="O10" s="65" t="n">
        <f aca="false">O8+O9</f>
        <v>4489.015</v>
      </c>
      <c r="P10" s="65" t="n">
        <f aca="false">P8+P9</f>
        <v>0.000999999999999446</v>
      </c>
      <c r="R10" s="65" t="n">
        <f aca="false">R8+R9</f>
        <v>499.334</v>
      </c>
    </row>
    <row r="11" customFormat="false" ht="12.75" hidden="false" customHeight="true" outlineLevel="4" collapsed="false">
      <c r="A11" s="57"/>
      <c r="B11" s="65"/>
      <c r="C11" s="58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R11" s="65"/>
    </row>
    <row r="12" customFormat="false" ht="12.75" hidden="false" customHeight="true" outlineLevel="4" collapsed="false">
      <c r="A12" s="57" t="s">
        <v>43</v>
      </c>
      <c r="B12" s="58" t="n">
        <f aca="false">D12+R12</f>
        <v>5492.058</v>
      </c>
      <c r="C12" s="58"/>
      <c r="D12" s="62" t="n">
        <f aca="false">SUM(E12:M12)+O12+P12</f>
        <v>5492.058</v>
      </c>
      <c r="E12" s="62" t="n">
        <f aca="false">AprYTD!E12-MarYTD!E12</f>
        <v>3863.109</v>
      </c>
      <c r="F12" s="62" t="n">
        <f aca="false">AprYTD!F12-MarYTD!F12</f>
        <v>1628.949</v>
      </c>
      <c r="G12" s="62" t="n">
        <f aca="false">AprYTD!G12-MarYTD!G12</f>
        <v>0</v>
      </c>
      <c r="H12" s="62" t="n">
        <f aca="false">AprYTD!H12-MarYTD!H12</f>
        <v>0</v>
      </c>
      <c r="I12" s="62" t="n">
        <f aca="false">AprYTD!I12-MarYTD!I12</f>
        <v>0</v>
      </c>
      <c r="J12" s="62" t="n">
        <f aca="false">AprYTD!J12-MarYTD!J12</f>
        <v>0</v>
      </c>
      <c r="K12" s="62" t="n">
        <f aca="false">AprYTD!K12-MarYTD!K12</f>
        <v>0</v>
      </c>
      <c r="L12" s="62" t="n">
        <f aca="false">AprYTD!L12-MarYTD!L12</f>
        <v>0</v>
      </c>
      <c r="M12" s="62" t="n">
        <f aca="false">AprYTD!M12-MarYTD!M12</f>
        <v>0</v>
      </c>
      <c r="N12" s="62" t="n">
        <f aca="false">M12+L12</f>
        <v>0</v>
      </c>
      <c r="O12" s="62" t="n">
        <f aca="false">AprYTD!O12-MarYTD!O12</f>
        <v>0</v>
      </c>
      <c r="P12" s="62" t="n">
        <f aca="false">AprYTD!P12-MarYTD!P12</f>
        <v>0</v>
      </c>
      <c r="R12" s="62" t="n">
        <f aca="false">AprYTD!R12-MarYTD!R12</f>
        <v>0</v>
      </c>
    </row>
    <row r="13" customFormat="false" ht="12.75" hidden="false" customHeight="true" outlineLevel="4" collapsed="false">
      <c r="A13" s="57" t="s">
        <v>45</v>
      </c>
      <c r="B13" s="58" t="n">
        <f aca="false">D13+R13</f>
        <v>1024.728</v>
      </c>
      <c r="C13" s="58"/>
      <c r="D13" s="62" t="n">
        <f aca="false">SUM(E13:M13)+O13+P13</f>
        <v>1019.665</v>
      </c>
      <c r="E13" s="62" t="n">
        <f aca="false">AprYTD!E13-MarYTD!E13</f>
        <v>866.782</v>
      </c>
      <c r="F13" s="62" t="n">
        <f aca="false">AprYTD!F13-MarYTD!F13</f>
        <v>93.4250000000001</v>
      </c>
      <c r="G13" s="62" t="n">
        <f aca="false">AprYTD!G13-MarYTD!G13</f>
        <v>0</v>
      </c>
      <c r="H13" s="62" t="n">
        <f aca="false">AprYTD!H13-MarYTD!H13</f>
        <v>55.004</v>
      </c>
      <c r="I13" s="62" t="n">
        <f aca="false">AprYTD!I13-MarYTD!I13</f>
        <v>0</v>
      </c>
      <c r="J13" s="62" t="n">
        <f aca="false">AprYTD!J13-MarYTD!J13</f>
        <v>0</v>
      </c>
      <c r="K13" s="62" t="n">
        <f aca="false">AprYTD!K13-MarYTD!K13</f>
        <v>-0.607</v>
      </c>
      <c r="L13" s="62" t="n">
        <f aca="false">AprYTD!L13-MarYTD!L13</f>
        <v>5.061</v>
      </c>
      <c r="M13" s="62" t="n">
        <f aca="false">AprYTD!M13-MarYTD!M13</f>
        <v>0</v>
      </c>
      <c r="N13" s="62" t="n">
        <f aca="false">M13+L13</f>
        <v>5.061</v>
      </c>
      <c r="O13" s="62" t="n">
        <f aca="false">AprYTD!O13-MarYTD!O13</f>
        <v>0</v>
      </c>
      <c r="P13" s="62" t="n">
        <f aca="false">AprYTD!P13-MarYTD!P13</f>
        <v>0</v>
      </c>
      <c r="R13" s="62" t="n">
        <f aca="false">AprYTD!R13-MarYTD!R13</f>
        <v>5.063</v>
      </c>
    </row>
    <row r="14" customFormat="false" ht="12.75" hidden="false" customHeight="true" outlineLevel="4" collapsed="false">
      <c r="A14" s="57" t="s">
        <v>47</v>
      </c>
      <c r="B14" s="58" t="n">
        <f aca="false">D14+R14</f>
        <v>0</v>
      </c>
      <c r="C14" s="58"/>
      <c r="D14" s="62" t="n">
        <f aca="false">SUM(E14:M14)+O14+P14</f>
        <v>0</v>
      </c>
      <c r="E14" s="62" t="n">
        <f aca="false">AprYTD!E14-MarYTD!E14</f>
        <v>0</v>
      </c>
      <c r="F14" s="62" t="n">
        <f aca="false">AprYTD!F14-MarYTD!F14</f>
        <v>0</v>
      </c>
      <c r="G14" s="62" t="n">
        <f aca="false">AprYTD!G14-MarYTD!G14</f>
        <v>0</v>
      </c>
      <c r="H14" s="62" t="n">
        <f aca="false">AprYTD!H14-MarYTD!H14</f>
        <v>0</v>
      </c>
      <c r="I14" s="62" t="n">
        <f aca="false">AprYTD!I14-MarYTD!I14</f>
        <v>0</v>
      </c>
      <c r="J14" s="62" t="n">
        <f aca="false">AprYTD!J14-MarYTD!J14</f>
        <v>0</v>
      </c>
      <c r="K14" s="62" t="n">
        <f aca="false">AprYTD!K14-MarYTD!K14</f>
        <v>0</v>
      </c>
      <c r="L14" s="62" t="n">
        <f aca="false">AprYTD!L14-MarYTD!L14</f>
        <v>0</v>
      </c>
      <c r="M14" s="62" t="n">
        <f aca="false">AprYTD!M14-MarYTD!M14</f>
        <v>0</v>
      </c>
      <c r="N14" s="62" t="n">
        <f aca="false">M14+L14</f>
        <v>0</v>
      </c>
      <c r="O14" s="62" t="n">
        <f aca="false">AprYTD!O14-MarYTD!O14</f>
        <v>0</v>
      </c>
      <c r="P14" s="62" t="n">
        <f aca="false">AprYTD!P14-MarYTD!P14</f>
        <v>0</v>
      </c>
      <c r="R14" s="62" t="n">
        <f aca="false">AprYTD!R14-MarYTD!R14</f>
        <v>0</v>
      </c>
    </row>
    <row r="15" customFormat="false" ht="12.75" hidden="false" customHeight="true" outlineLevel="4" collapsed="false">
      <c r="A15" s="57" t="s">
        <v>48</v>
      </c>
      <c r="B15" s="58" t="n">
        <f aca="false">D15+R15</f>
        <v>0</v>
      </c>
      <c r="C15" s="58"/>
      <c r="D15" s="62" t="n">
        <f aca="false">SUM(E15:M15)+O15+P15</f>
        <v>0</v>
      </c>
      <c r="E15" s="62" t="n">
        <f aca="false">AprYTD!E15-MarYTD!E15</f>
        <v>0</v>
      </c>
      <c r="F15" s="62" t="n">
        <f aca="false">AprYTD!F15-MarYTD!F15</f>
        <v>0</v>
      </c>
      <c r="G15" s="62" t="n">
        <f aca="false">AprYTD!G15-MarYTD!G15</f>
        <v>0</v>
      </c>
      <c r="H15" s="62" t="n">
        <f aca="false">AprYTD!H15-MarYTD!H15</f>
        <v>0</v>
      </c>
      <c r="I15" s="62" t="n">
        <f aca="false">AprYTD!I15-MarYTD!I15</f>
        <v>0</v>
      </c>
      <c r="J15" s="62" t="n">
        <f aca="false">AprYTD!J15-MarYTD!J15</f>
        <v>0</v>
      </c>
      <c r="K15" s="62" t="n">
        <f aca="false">AprYTD!K15-MarYTD!K15</f>
        <v>0</v>
      </c>
      <c r="L15" s="62" t="n">
        <f aca="false">AprYTD!L15-MarYTD!L15</f>
        <v>0</v>
      </c>
      <c r="M15" s="62" t="n">
        <f aca="false">AprYTD!M15-MarYTD!M15</f>
        <v>0</v>
      </c>
      <c r="N15" s="62" t="n">
        <f aca="false">M15+L15</f>
        <v>0</v>
      </c>
      <c r="O15" s="62" t="n">
        <f aca="false">AprYTD!O15-MarYTD!O15</f>
        <v>0</v>
      </c>
      <c r="P15" s="62" t="n">
        <f aca="false">AprYTD!P15-MarYTD!P15</f>
        <v>0</v>
      </c>
      <c r="R15" s="62" t="n">
        <f aca="false">AprYTD!R15-MarYTD!R15</f>
        <v>0</v>
      </c>
    </row>
    <row r="16" customFormat="false" ht="12.75" hidden="false" customHeight="true" outlineLevel="4" collapsed="false">
      <c r="A16" s="57" t="s">
        <v>51</v>
      </c>
      <c r="B16" s="58" t="n">
        <f aca="false">D16+R16</f>
        <v>-6622.736</v>
      </c>
      <c r="C16" s="58"/>
      <c r="D16" s="62" t="n">
        <f aca="false">SUM(E16:M16)+O16+P16</f>
        <v>-6103.151</v>
      </c>
      <c r="E16" s="62" t="n">
        <f aca="false">AprYTD!E16-MarYTD!E16</f>
        <v>-309.18</v>
      </c>
      <c r="F16" s="62" t="n">
        <f aca="false">AprYTD!F16-MarYTD!F16</f>
        <v>0</v>
      </c>
      <c r="G16" s="62" t="n">
        <f aca="false">AprYTD!G16-MarYTD!G16</f>
        <v>-5276.493</v>
      </c>
      <c r="H16" s="62" t="n">
        <f aca="false">AprYTD!H16-MarYTD!H16</f>
        <v>-517.478</v>
      </c>
      <c r="I16" s="62" t="n">
        <f aca="false">AprYTD!I16-MarYTD!I16</f>
        <v>0</v>
      </c>
      <c r="J16" s="62" t="n">
        <f aca="false">AprYTD!J16-MarYTD!J16</f>
        <v>0</v>
      </c>
      <c r="K16" s="62" t="n">
        <f aca="false">AprYTD!K16-MarYTD!K16</f>
        <v>0</v>
      </c>
      <c r="L16" s="62" t="n">
        <f aca="false">AprYTD!L16-MarYTD!L16</f>
        <v>0</v>
      </c>
      <c r="M16" s="62" t="n">
        <f aca="false">AprYTD!M16-MarYTD!M16</f>
        <v>0</v>
      </c>
      <c r="N16" s="62" t="n">
        <f aca="false">M16+L16</f>
        <v>0</v>
      </c>
      <c r="O16" s="62" t="n">
        <f aca="false">AprYTD!O16-MarYTD!O16</f>
        <v>0</v>
      </c>
      <c r="P16" s="62" t="n">
        <f aca="false">AprYTD!P16-MarYTD!P16</f>
        <v>0</v>
      </c>
      <c r="R16" s="62" t="n">
        <f aca="false">AprYTD!R16-MarYTD!R16</f>
        <v>-519.585</v>
      </c>
    </row>
    <row r="17" customFormat="false" ht="12.75" hidden="false" customHeight="true" outlineLevel="4" collapsed="false">
      <c r="A17" s="57" t="s">
        <v>52</v>
      </c>
      <c r="B17" s="58" t="n">
        <f aca="false">D17+R17</f>
        <v>33</v>
      </c>
      <c r="C17" s="58"/>
      <c r="D17" s="62" t="n">
        <f aca="false">SUM(E17:M17)+O17+P17</f>
        <v>33</v>
      </c>
      <c r="E17" s="62" t="n">
        <f aca="false">AprYTD!E17-MarYTD!E17</f>
        <v>33</v>
      </c>
      <c r="F17" s="62" t="n">
        <f aca="false">AprYTD!F17-MarYTD!F17</f>
        <v>0</v>
      </c>
      <c r="G17" s="62" t="n">
        <f aca="false">AprYTD!G17-MarYTD!G17</f>
        <v>0</v>
      </c>
      <c r="H17" s="62" t="n">
        <f aca="false">AprYTD!H17-MarYTD!H17</f>
        <v>0</v>
      </c>
      <c r="I17" s="62" t="n">
        <f aca="false">AprYTD!I17-MarYTD!I17</f>
        <v>0</v>
      </c>
      <c r="J17" s="62" t="n">
        <f aca="false">AprYTD!J17-MarYTD!J17</f>
        <v>0</v>
      </c>
      <c r="K17" s="62" t="n">
        <f aca="false">AprYTD!K17-MarYTD!K17</f>
        <v>0</v>
      </c>
      <c r="L17" s="62" t="n">
        <f aca="false">AprYTD!L17-MarYTD!L17</f>
        <v>0</v>
      </c>
      <c r="M17" s="62" t="n">
        <f aca="false">AprYTD!M17-MarYTD!M17</f>
        <v>0</v>
      </c>
      <c r="N17" s="62" t="n">
        <f aca="false">M17+L17</f>
        <v>0</v>
      </c>
      <c r="O17" s="62" t="n">
        <f aca="false">AprYTD!O17-MarYTD!O17</f>
        <v>0</v>
      </c>
      <c r="P17" s="62" t="n">
        <f aca="false">AprYTD!P17-MarYTD!P17</f>
        <v>0</v>
      </c>
      <c r="R17" s="62" t="n">
        <f aca="false">AprYTD!R17-MarYTD!R17</f>
        <v>0</v>
      </c>
    </row>
    <row r="18" customFormat="false" ht="12.75" hidden="false" customHeight="true" outlineLevel="4" collapsed="false">
      <c r="A18" s="57" t="s">
        <v>53</v>
      </c>
      <c r="B18" s="63" t="n">
        <f aca="false">D18+R18</f>
        <v>54313</v>
      </c>
      <c r="C18" s="58"/>
      <c r="D18" s="62" t="n">
        <f aca="false">SUM(E18:M18)+O18+P18</f>
        <v>54411</v>
      </c>
      <c r="E18" s="62" t="n">
        <f aca="false">AprYTD!E18-MarYTD!E18</f>
        <v>-1012</v>
      </c>
      <c r="F18" s="62" t="n">
        <f aca="false">AprYTD!F18-MarYTD!F18</f>
        <v>3276</v>
      </c>
      <c r="G18" s="62" t="n">
        <f aca="false">AprYTD!G18-MarYTD!G18</f>
        <v>0</v>
      </c>
      <c r="H18" s="62" t="n">
        <f aca="false">AprYTD!H18-MarYTD!H18</f>
        <v>0</v>
      </c>
      <c r="I18" s="62" t="n">
        <f aca="false">AprYTD!I18-MarYTD!I18</f>
        <v>-1</v>
      </c>
      <c r="J18" s="62" t="n">
        <f aca="false">AprYTD!J18-MarYTD!J18</f>
        <v>599</v>
      </c>
      <c r="K18" s="62" t="n">
        <f aca="false">AprYTD!K18-MarYTD!K18</f>
        <v>-59</v>
      </c>
      <c r="L18" s="62" t="n">
        <f aca="false">AprYTD!L18-MarYTD!L18</f>
        <v>1256</v>
      </c>
      <c r="M18" s="62" t="n">
        <f aca="false">AprYTD!M18-MarYTD!M18</f>
        <v>50236</v>
      </c>
      <c r="N18" s="62" t="n">
        <f aca="false">M18+L18</f>
        <v>51492</v>
      </c>
      <c r="O18" s="62" t="n">
        <f aca="false">AprYTD!O18-MarYTD!O18</f>
        <v>113</v>
      </c>
      <c r="P18" s="62" t="n">
        <f aca="false">AprYTD!P18-MarYTD!P18</f>
        <v>3</v>
      </c>
      <c r="R18" s="62" t="n">
        <f aca="false">AprYTD!R18-MarYTD!R18</f>
        <v>-98</v>
      </c>
    </row>
    <row r="19" customFormat="false" ht="12.75" hidden="false" customHeight="true" outlineLevel="4" collapsed="false">
      <c r="A19" s="57" t="s">
        <v>54</v>
      </c>
      <c r="B19" s="66" t="n">
        <f aca="false">SUM(B10:B18)</f>
        <v>69498.374</v>
      </c>
      <c r="C19" s="58"/>
      <c r="D19" s="66" t="n">
        <f aca="false">SUM(D10:D18)</f>
        <v>69611.562</v>
      </c>
      <c r="E19" s="66" t="n">
        <f aca="false">SUM(E10:E18)</f>
        <v>3592.27699999998</v>
      </c>
      <c r="F19" s="66" t="n">
        <f aca="false">SUM(F10:F18)</f>
        <v>9552.493</v>
      </c>
      <c r="G19" s="66" t="n">
        <f aca="false">SUM(G10:G18)</f>
        <v>0</v>
      </c>
      <c r="H19" s="66" t="n">
        <f aca="false">SUM(H10:H18)</f>
        <v>51.5689999999997</v>
      </c>
      <c r="I19" s="66" t="n">
        <f aca="false">SUM(I10:I18)</f>
        <v>-1.056</v>
      </c>
      <c r="J19" s="66" t="n">
        <f aca="false">SUM(J10:J18)</f>
        <v>354.404</v>
      </c>
      <c r="K19" s="66" t="n">
        <f aca="false">SUM(K10:K18)</f>
        <v>-39.665</v>
      </c>
      <c r="L19" s="66" t="n">
        <f aca="false">SUM(L10:L18)</f>
        <v>1260.524</v>
      </c>
      <c r="M19" s="66" t="n">
        <f aca="false">SUM(M10:M18)</f>
        <v>50236</v>
      </c>
      <c r="N19" s="66" t="n">
        <f aca="false">SUM(N10:N18)</f>
        <v>51496.524</v>
      </c>
      <c r="O19" s="66" t="n">
        <f aca="false">SUM(O10:O18)</f>
        <v>4602.015</v>
      </c>
      <c r="P19" s="66" t="n">
        <f aca="false">SUM(P10:P18)</f>
        <v>3.001</v>
      </c>
      <c r="R19" s="66" t="n">
        <f aca="false">SUM(R10:R18)</f>
        <v>-113.188</v>
      </c>
    </row>
    <row r="20" customFormat="false" ht="12.75" hidden="false" customHeight="true" outlineLevel="4" collapsed="false">
      <c r="A20" s="57"/>
      <c r="B20" s="42"/>
      <c r="C20" s="58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R20" s="42"/>
    </row>
    <row r="21" customFormat="false" ht="12.75" hidden="false" customHeight="true" outlineLevel="4" collapsed="false">
      <c r="A21" s="57" t="s">
        <v>103</v>
      </c>
      <c r="B21" s="58"/>
      <c r="C21" s="58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</row>
    <row r="22" customFormat="false" ht="12.75" hidden="false" customHeight="true" outlineLevel="4" collapsed="false">
      <c r="A22" s="57" t="s">
        <v>56</v>
      </c>
      <c r="B22" s="58" t="n">
        <f aca="false">D22+R22</f>
        <v>29385</v>
      </c>
      <c r="C22" s="58"/>
      <c r="D22" s="62" t="n">
        <f aca="false">SUM(E22:M22)+O22+P22</f>
        <v>29714</v>
      </c>
      <c r="E22" s="62" t="n">
        <f aca="false">AprYTD!E22-MarYTD!E22</f>
        <v>33043</v>
      </c>
      <c r="F22" s="62" t="n">
        <f aca="false">AprYTD!F22-MarYTD!F22</f>
        <v>-726</v>
      </c>
      <c r="G22" s="62" t="n">
        <f aca="false">AprYTD!G22-MarYTD!G22</f>
        <v>0</v>
      </c>
      <c r="H22" s="62" t="n">
        <f aca="false">AprYTD!H22-MarYTD!H22</f>
        <v>-64</v>
      </c>
      <c r="I22" s="62" t="n">
        <f aca="false">AprYTD!I22-MarYTD!I22</f>
        <v>3</v>
      </c>
      <c r="J22" s="62" t="n">
        <f aca="false">AprYTD!J22-MarYTD!J22</f>
        <v>-300</v>
      </c>
      <c r="K22" s="62" t="n">
        <f aca="false">AprYTD!K22-MarYTD!K22</f>
        <v>87</v>
      </c>
      <c r="L22" s="62" t="n">
        <f aca="false">AprYTD!L22-MarYTD!L22</f>
        <v>-14</v>
      </c>
      <c r="M22" s="62" t="n">
        <f aca="false">AprYTD!M22-MarYTD!M22</f>
        <v>0</v>
      </c>
      <c r="N22" s="62" t="n">
        <f aca="false">M22+L22</f>
        <v>-14</v>
      </c>
      <c r="O22" s="62" t="n">
        <f aca="false">AprYTD!O22-MarYTD!O22</f>
        <v>-2354</v>
      </c>
      <c r="P22" s="62" t="n">
        <f aca="false">AprYTD!P22-MarYTD!P22</f>
        <v>39</v>
      </c>
      <c r="R22" s="62" t="n">
        <f aca="false">AprYTD!R22-MarYTD!R22</f>
        <v>-329</v>
      </c>
    </row>
    <row r="23" customFormat="false" ht="12.75" hidden="false" customHeight="true" outlineLevel="4" collapsed="false">
      <c r="A23" s="57" t="s">
        <v>58</v>
      </c>
      <c r="B23" s="58" t="n">
        <f aca="false">D23+R23</f>
        <v>-9379</v>
      </c>
      <c r="C23" s="58"/>
      <c r="D23" s="62" t="n">
        <f aca="false">SUM(E23:M23)+O23+P23</f>
        <v>-9379</v>
      </c>
      <c r="E23" s="62" t="n">
        <f aca="false">AprYTD!E23-MarYTD!E23</f>
        <v>1421</v>
      </c>
      <c r="F23" s="62" t="n">
        <f aca="false">AprYTD!F23-MarYTD!F23</f>
        <v>-1577</v>
      </c>
      <c r="G23" s="62" t="n">
        <f aca="false">AprYTD!G23-MarYTD!G23</f>
        <v>0</v>
      </c>
      <c r="H23" s="62" t="n">
        <f aca="false">AprYTD!H23-MarYTD!H23</f>
        <v>0</v>
      </c>
      <c r="I23" s="62" t="n">
        <f aca="false">AprYTD!I23-MarYTD!I23</f>
        <v>-3</v>
      </c>
      <c r="J23" s="62" t="n">
        <f aca="false">AprYTD!J23-MarYTD!J23</f>
        <v>-1729</v>
      </c>
      <c r="K23" s="62" t="n">
        <f aca="false">AprYTD!K23-MarYTD!K23</f>
        <v>-112</v>
      </c>
      <c r="L23" s="62" t="n">
        <f aca="false">AprYTD!L23-MarYTD!L23</f>
        <v>-115</v>
      </c>
      <c r="M23" s="62" t="n">
        <f aca="false">AprYTD!M23-MarYTD!M23</f>
        <v>33</v>
      </c>
      <c r="N23" s="62" t="n">
        <f aca="false">M23+L23</f>
        <v>-82</v>
      </c>
      <c r="O23" s="62" t="n">
        <f aca="false">AprYTD!O23-MarYTD!O23</f>
        <v>-7332</v>
      </c>
      <c r="P23" s="62" t="n">
        <f aca="false">AprYTD!P23-MarYTD!P23</f>
        <v>35</v>
      </c>
      <c r="R23" s="62" t="n">
        <f aca="false">AprYTD!R23-MarYTD!R23</f>
        <v>0</v>
      </c>
    </row>
    <row r="24" customFormat="false" ht="12.75" hidden="false" customHeight="true" outlineLevel="4" collapsed="false">
      <c r="A24" s="57" t="s">
        <v>60</v>
      </c>
      <c r="B24" s="58" t="n">
        <f aca="false">D24+R24</f>
        <v>182</v>
      </c>
      <c r="C24" s="58"/>
      <c r="D24" s="62" t="n">
        <f aca="false">SUM(E24:M24)+O24+P24</f>
        <v>182</v>
      </c>
      <c r="E24" s="62" t="n">
        <f aca="false">AprYTD!E24-MarYTD!E24</f>
        <v>9</v>
      </c>
      <c r="F24" s="62" t="n">
        <f aca="false">AprYTD!F24-MarYTD!F24</f>
        <v>0</v>
      </c>
      <c r="G24" s="62" t="n">
        <f aca="false">AprYTD!G24-MarYTD!G24</f>
        <v>0</v>
      </c>
      <c r="H24" s="62" t="n">
        <f aca="false">AprYTD!H24-MarYTD!H24</f>
        <v>0</v>
      </c>
      <c r="I24" s="62" t="n">
        <f aca="false">AprYTD!I24-MarYTD!I24</f>
        <v>0</v>
      </c>
      <c r="J24" s="62" t="n">
        <f aca="false">AprYTD!J24-MarYTD!J24</f>
        <v>0</v>
      </c>
      <c r="K24" s="62" t="n">
        <f aca="false">AprYTD!K24-MarYTD!K24</f>
        <v>0</v>
      </c>
      <c r="L24" s="62" t="n">
        <f aca="false">AprYTD!L24-MarYTD!L24</f>
        <v>173</v>
      </c>
      <c r="M24" s="62" t="n">
        <f aca="false">AprYTD!M24-MarYTD!M24</f>
        <v>0</v>
      </c>
      <c r="N24" s="62" t="n">
        <f aca="false">M24+L24</f>
        <v>173</v>
      </c>
      <c r="O24" s="62" t="n">
        <f aca="false">AprYTD!O24-MarYTD!O24</f>
        <v>0</v>
      </c>
      <c r="P24" s="62" t="n">
        <f aca="false">AprYTD!P24-MarYTD!P24</f>
        <v>0</v>
      </c>
      <c r="R24" s="62" t="n">
        <f aca="false">AprYTD!R24-MarYTD!R24</f>
        <v>0</v>
      </c>
    </row>
    <row r="25" customFormat="false" ht="12.75" hidden="false" customHeight="true" outlineLevel="4" collapsed="false">
      <c r="A25" s="57" t="s">
        <v>61</v>
      </c>
      <c r="B25" s="58" t="n">
        <f aca="false">D25+R25</f>
        <v>0</v>
      </c>
      <c r="C25" s="58"/>
      <c r="D25" s="62" t="n">
        <f aca="false">SUM(E25:M25)+O25+P25</f>
        <v>0</v>
      </c>
      <c r="E25" s="62" t="n">
        <f aca="false">AprYTD!E25-MarYTD!E25</f>
        <v>0</v>
      </c>
      <c r="F25" s="62" t="n">
        <f aca="false">AprYTD!F25-MarYTD!F25</f>
        <v>0</v>
      </c>
      <c r="G25" s="62" t="n">
        <f aca="false">AprYTD!G25-MarYTD!G25</f>
        <v>0</v>
      </c>
      <c r="H25" s="62" t="n">
        <f aca="false">AprYTD!H25-MarYTD!H25</f>
        <v>0</v>
      </c>
      <c r="I25" s="62" t="n">
        <f aca="false">AprYTD!I25-MarYTD!I25</f>
        <v>0</v>
      </c>
      <c r="J25" s="62" t="n">
        <f aca="false">AprYTD!J25-MarYTD!J25</f>
        <v>0</v>
      </c>
      <c r="K25" s="62" t="n">
        <f aca="false">AprYTD!K25-MarYTD!K25</f>
        <v>0</v>
      </c>
      <c r="L25" s="62" t="n">
        <f aca="false">AprYTD!L25-MarYTD!L25</f>
        <v>0</v>
      </c>
      <c r="M25" s="62" t="n">
        <f aca="false">AprYTD!M25-MarYTD!M25</f>
        <v>0</v>
      </c>
      <c r="N25" s="62" t="n">
        <f aca="false">M25+L25</f>
        <v>0</v>
      </c>
      <c r="O25" s="62" t="n">
        <f aca="false">AprYTD!O25-MarYTD!O25</f>
        <v>0</v>
      </c>
      <c r="P25" s="62" t="n">
        <f aca="false">AprYTD!P25-MarYTD!P25</f>
        <v>0</v>
      </c>
      <c r="R25" s="62" t="n">
        <f aca="false">AprYTD!R25-MarYTD!R25</f>
        <v>0</v>
      </c>
    </row>
    <row r="26" customFormat="false" ht="12.75" hidden="false" customHeight="true" outlineLevel="4" collapsed="false">
      <c r="A26" s="57" t="s">
        <v>62</v>
      </c>
      <c r="B26" s="58" t="n">
        <f aca="false">D26+R26</f>
        <v>-1957</v>
      </c>
      <c r="C26" s="58"/>
      <c r="D26" s="62" t="n">
        <f aca="false">SUM(E26:M26)+O26+P26</f>
        <v>-1964</v>
      </c>
      <c r="E26" s="62" t="n">
        <f aca="false">AprYTD!E26-MarYTD!E26</f>
        <v>-688</v>
      </c>
      <c r="F26" s="62" t="n">
        <f aca="false">AprYTD!F26-MarYTD!F26</f>
        <v>3256</v>
      </c>
      <c r="G26" s="62" t="n">
        <f aca="false">AprYTD!G26-MarYTD!G26</f>
        <v>0</v>
      </c>
      <c r="H26" s="62" t="n">
        <f aca="false">AprYTD!H26-MarYTD!H26</f>
        <v>420</v>
      </c>
      <c r="I26" s="62" t="n">
        <f aca="false">AprYTD!I26-MarYTD!I26</f>
        <v>0</v>
      </c>
      <c r="J26" s="62" t="n">
        <f aca="false">AprYTD!J26-MarYTD!J26</f>
        <v>-1042</v>
      </c>
      <c r="K26" s="62" t="n">
        <f aca="false">AprYTD!K26-MarYTD!K26</f>
        <v>-6</v>
      </c>
      <c r="L26" s="62" t="n">
        <f aca="false">AprYTD!L26-MarYTD!L26</f>
        <v>-36</v>
      </c>
      <c r="M26" s="62" t="n">
        <f aca="false">AprYTD!M26-MarYTD!M26</f>
        <v>0</v>
      </c>
      <c r="N26" s="62" t="n">
        <f aca="false">M26+L26</f>
        <v>-36</v>
      </c>
      <c r="O26" s="62" t="n">
        <f aca="false">AprYTD!O26-MarYTD!O26</f>
        <v>-3884</v>
      </c>
      <c r="P26" s="62" t="n">
        <f aca="false">AprYTD!P26-MarYTD!P26</f>
        <v>16</v>
      </c>
      <c r="R26" s="62" t="n">
        <f aca="false">AprYTD!R26-MarYTD!R26</f>
        <v>7</v>
      </c>
    </row>
    <row r="27" customFormat="false" ht="12.75" hidden="false" customHeight="true" outlineLevel="4" collapsed="false">
      <c r="A27" s="57" t="s">
        <v>104</v>
      </c>
      <c r="B27" s="58" t="n">
        <f aca="false">D27+R27</f>
        <v>-7247</v>
      </c>
      <c r="C27" s="58"/>
      <c r="D27" s="62" t="n">
        <f aca="false">SUM(E27:M27)+O27+P27</f>
        <v>-7247</v>
      </c>
      <c r="E27" s="62" t="n">
        <f aca="false">AprYTD!E27-MarYTD!E27</f>
        <v>-7539</v>
      </c>
      <c r="F27" s="62" t="n">
        <f aca="false">AprYTD!F27-MarYTD!F27</f>
        <v>292</v>
      </c>
      <c r="G27" s="62" t="n">
        <f aca="false">AprYTD!G27-MarYTD!G27</f>
        <v>0</v>
      </c>
      <c r="H27" s="62" t="n">
        <f aca="false">AprYTD!H27-MarYTD!H27</f>
        <v>0</v>
      </c>
      <c r="I27" s="62" t="n">
        <f aca="false">AprYTD!I27-MarYTD!I27</f>
        <v>0</v>
      </c>
      <c r="J27" s="62" t="n">
        <f aca="false">AprYTD!J27-MarYTD!J27</f>
        <v>0</v>
      </c>
      <c r="K27" s="62" t="n">
        <f aca="false">AprYTD!K27-MarYTD!K27</f>
        <v>0</v>
      </c>
      <c r="L27" s="62" t="n">
        <f aca="false">AprYTD!L27-MarYTD!L27</f>
        <v>0</v>
      </c>
      <c r="M27" s="62" t="n">
        <f aca="false">AprYTD!M27-MarYTD!M27</f>
        <v>0</v>
      </c>
      <c r="N27" s="62" t="n">
        <f aca="false">M27+L27</f>
        <v>0</v>
      </c>
      <c r="O27" s="62" t="n">
        <f aca="false">AprYTD!O27-MarYTD!O27</f>
        <v>0</v>
      </c>
      <c r="P27" s="62" t="n">
        <f aca="false">AprYTD!P27-MarYTD!P27</f>
        <v>0</v>
      </c>
      <c r="R27" s="62" t="n">
        <f aca="false">AprYTD!R27-MarYTD!R27</f>
        <v>0</v>
      </c>
    </row>
    <row r="28" customFormat="false" ht="12.75" hidden="false" customHeight="true" outlineLevel="4" collapsed="false">
      <c r="A28" s="57" t="s">
        <v>64</v>
      </c>
      <c r="B28" s="58" t="n">
        <f aca="false">D28+R28</f>
        <v>-1996</v>
      </c>
      <c r="C28" s="58"/>
      <c r="D28" s="62" t="n">
        <f aca="false">SUM(E28:M28)+O28+P28</f>
        <v>-2059</v>
      </c>
      <c r="E28" s="62" t="n">
        <f aca="false">AprYTD!E28-MarYTD!E28</f>
        <v>1761</v>
      </c>
      <c r="F28" s="62" t="n">
        <f aca="false">AprYTD!F28-MarYTD!F28</f>
        <v>-2526</v>
      </c>
      <c r="G28" s="62" t="n">
        <f aca="false">AprYTD!G28-MarYTD!G28</f>
        <v>0</v>
      </c>
      <c r="H28" s="62" t="n">
        <f aca="false">AprYTD!H28-MarYTD!H28</f>
        <v>1</v>
      </c>
      <c r="I28" s="62" t="n">
        <f aca="false">AprYTD!I28-MarYTD!I28</f>
        <v>0</v>
      </c>
      <c r="J28" s="62" t="n">
        <f aca="false">AprYTD!J28-MarYTD!J28</f>
        <v>0</v>
      </c>
      <c r="K28" s="62" t="n">
        <f aca="false">AprYTD!K28-MarYTD!K28</f>
        <v>1</v>
      </c>
      <c r="L28" s="62" t="n">
        <f aca="false">AprYTD!L28-MarYTD!L28</f>
        <v>-1262</v>
      </c>
      <c r="M28" s="62" t="n">
        <f aca="false">AprYTD!M28-MarYTD!M28</f>
        <v>-34</v>
      </c>
      <c r="N28" s="62" t="n">
        <f aca="false">M28+L28</f>
        <v>-1296</v>
      </c>
      <c r="O28" s="62" t="n">
        <f aca="false">AprYTD!O28-MarYTD!O28</f>
        <v>0</v>
      </c>
      <c r="P28" s="62" t="n">
        <f aca="false">AprYTD!P28-MarYTD!P28</f>
        <v>0</v>
      </c>
      <c r="R28" s="62" t="n">
        <f aca="false">AprYTD!R28-MarYTD!R28</f>
        <v>63</v>
      </c>
    </row>
    <row r="29" customFormat="false" ht="12.75" hidden="false" customHeight="true" outlineLevel="4" collapsed="false">
      <c r="A29" s="57" t="s">
        <v>65</v>
      </c>
      <c r="B29" s="58" t="n">
        <f aca="false">D29+R29</f>
        <v>4122</v>
      </c>
      <c r="C29" s="58"/>
      <c r="D29" s="62" t="n">
        <f aca="false">SUM(E29:M29)+O29+P29</f>
        <v>4122</v>
      </c>
      <c r="E29" s="62" t="n">
        <f aca="false">AprYTD!E29-MarYTD!E29</f>
        <v>2875</v>
      </c>
      <c r="F29" s="62" t="n">
        <f aca="false">AprYTD!F29-MarYTD!F29</f>
        <v>1247</v>
      </c>
      <c r="G29" s="62" t="n">
        <f aca="false">AprYTD!G29-MarYTD!G29</f>
        <v>0</v>
      </c>
      <c r="H29" s="62" t="n">
        <f aca="false">AprYTD!H29-MarYTD!H29</f>
        <v>0</v>
      </c>
      <c r="I29" s="62" t="n">
        <f aca="false">AprYTD!I29-MarYTD!I29</f>
        <v>0</v>
      </c>
      <c r="J29" s="62" t="n">
        <f aca="false">AprYTD!J29-MarYTD!J29</f>
        <v>0</v>
      </c>
      <c r="K29" s="62" t="n">
        <f aca="false">AprYTD!K29-MarYTD!K29</f>
        <v>0</v>
      </c>
      <c r="L29" s="62" t="n">
        <f aca="false">AprYTD!L29-MarYTD!L29</f>
        <v>0</v>
      </c>
      <c r="M29" s="62" t="n">
        <f aca="false">AprYTD!M29-MarYTD!M29</f>
        <v>0</v>
      </c>
      <c r="N29" s="62" t="n">
        <f aca="false">M29+L29</f>
        <v>0</v>
      </c>
      <c r="O29" s="62" t="n">
        <f aca="false">AprYTD!O29-MarYTD!O29</f>
        <v>0</v>
      </c>
      <c r="P29" s="62" t="n">
        <f aca="false">AprYTD!P29-MarYTD!P29</f>
        <v>0</v>
      </c>
      <c r="R29" s="62" t="n">
        <f aca="false">AprYTD!R29-MarYTD!R29</f>
        <v>0</v>
      </c>
    </row>
    <row r="30" customFormat="false" ht="12.75" hidden="false" customHeight="true" outlineLevel="4" collapsed="false">
      <c r="A30" s="57" t="s">
        <v>66</v>
      </c>
      <c r="B30" s="63" t="n">
        <f aca="false">D30+R30</f>
        <v>2141</v>
      </c>
      <c r="C30" s="58"/>
      <c r="D30" s="62" t="n">
        <f aca="false">SUM(E30:M30)+O30+P30</f>
        <v>2141</v>
      </c>
      <c r="E30" s="62" t="n">
        <f aca="false">AprYTD!E30-MarYTD!E30</f>
        <v>1518</v>
      </c>
      <c r="F30" s="62" t="n">
        <f aca="false">AprYTD!F30-MarYTD!F30</f>
        <v>176</v>
      </c>
      <c r="G30" s="62" t="n">
        <f aca="false">AprYTD!G30-MarYTD!G30</f>
        <v>0</v>
      </c>
      <c r="H30" s="62" t="n">
        <f aca="false">AprYTD!H30-MarYTD!H30</f>
        <v>187</v>
      </c>
      <c r="I30" s="62" t="n">
        <f aca="false">AprYTD!I30-MarYTD!I30</f>
        <v>0</v>
      </c>
      <c r="J30" s="62" t="n">
        <f aca="false">AprYTD!J30-MarYTD!J30</f>
        <v>0</v>
      </c>
      <c r="K30" s="62" t="n">
        <f aca="false">AprYTD!K30-MarYTD!K30</f>
        <v>-1</v>
      </c>
      <c r="L30" s="62" t="n">
        <f aca="false">AprYTD!L30-MarYTD!L30</f>
        <v>0</v>
      </c>
      <c r="M30" s="62" t="n">
        <f aca="false">AprYTD!M30-MarYTD!M30</f>
        <v>0</v>
      </c>
      <c r="N30" s="62" t="n">
        <f aca="false">M30+L30</f>
        <v>0</v>
      </c>
      <c r="O30" s="62" t="n">
        <f aca="false">AprYTD!O30-MarYTD!O30</f>
        <v>261</v>
      </c>
      <c r="P30" s="62" t="n">
        <f aca="false">AprYTD!P30-MarYTD!P30</f>
        <v>0</v>
      </c>
      <c r="R30" s="62" t="n">
        <f aca="false">AprYTD!R30-MarYTD!R30</f>
        <v>0</v>
      </c>
    </row>
    <row r="31" customFormat="false" ht="12.75" hidden="false" customHeight="true" outlineLevel="4" collapsed="false">
      <c r="A31" s="57" t="s">
        <v>67</v>
      </c>
      <c r="B31" s="67" t="n">
        <f aca="false">SUM(B21:B30)</f>
        <v>15251</v>
      </c>
      <c r="C31" s="68"/>
      <c r="D31" s="67" t="n">
        <f aca="false">SUM(D21:D30)</f>
        <v>15510</v>
      </c>
      <c r="E31" s="67" t="n">
        <f aca="false">SUM(E21:E30)</f>
        <v>32400</v>
      </c>
      <c r="F31" s="67" t="n">
        <f aca="false">SUM(F21:F30)</f>
        <v>142</v>
      </c>
      <c r="G31" s="67" t="n">
        <f aca="false">SUM(G21:G30)</f>
        <v>0</v>
      </c>
      <c r="H31" s="67" t="n">
        <f aca="false">SUM(H21:H30)</f>
        <v>544</v>
      </c>
      <c r="I31" s="67" t="n">
        <f aca="false">SUM(I21:I30)</f>
        <v>0</v>
      </c>
      <c r="J31" s="67" t="n">
        <f aca="false">SUM(J21:J30)</f>
        <v>-3071</v>
      </c>
      <c r="K31" s="67" t="n">
        <f aca="false">SUM(K21:K30)</f>
        <v>-31</v>
      </c>
      <c r="L31" s="67" t="n">
        <f aca="false">SUM(L21:L30)</f>
        <v>-1254</v>
      </c>
      <c r="M31" s="67" t="n">
        <f aca="false">SUM(M21:M30)</f>
        <v>-1</v>
      </c>
      <c r="N31" s="67" t="n">
        <f aca="false">SUM(N21:N30)</f>
        <v>-1255</v>
      </c>
      <c r="O31" s="67" t="n">
        <f aca="false">SUM(O21:O30)</f>
        <v>-13309</v>
      </c>
      <c r="P31" s="67" t="n">
        <f aca="false">SUM(P21:P30)</f>
        <v>90</v>
      </c>
      <c r="R31" s="67" t="n">
        <f aca="false">SUM(R21:R30)</f>
        <v>-259</v>
      </c>
    </row>
    <row r="32" customFormat="false" ht="12.75" hidden="false" customHeight="true" outlineLevel="4" collapsed="false">
      <c r="A32" s="57"/>
      <c r="B32" s="69"/>
      <c r="C32" s="68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42"/>
      <c r="R32" s="69"/>
    </row>
    <row r="33" customFormat="false" ht="12.75" hidden="false" customHeight="true" outlineLevel="3" collapsed="false">
      <c r="A33" s="57" t="s">
        <v>68</v>
      </c>
      <c r="B33" s="70" t="n">
        <f aca="false">B19+B31</f>
        <v>84749.374</v>
      </c>
      <c r="C33" s="58"/>
      <c r="D33" s="70" t="n">
        <f aca="false">D19+D31</f>
        <v>85121.562</v>
      </c>
      <c r="E33" s="70" t="n">
        <f aca="false">E19+E31</f>
        <v>35992.277</v>
      </c>
      <c r="F33" s="70" t="n">
        <f aca="false">F19+F31</f>
        <v>9694.493</v>
      </c>
      <c r="G33" s="70" t="n">
        <f aca="false">G19+G31</f>
        <v>0</v>
      </c>
      <c r="H33" s="70" t="n">
        <f aca="false">H19+H31</f>
        <v>595.569</v>
      </c>
      <c r="I33" s="70" t="n">
        <f aca="false">I19+I31</f>
        <v>-1.056</v>
      </c>
      <c r="J33" s="70" t="n">
        <f aca="false">J19+J31</f>
        <v>-2716.596</v>
      </c>
      <c r="K33" s="70" t="n">
        <f aca="false">K19+K31</f>
        <v>-70.665</v>
      </c>
      <c r="L33" s="70" t="n">
        <f aca="false">L19+L31</f>
        <v>6.52399999999989</v>
      </c>
      <c r="M33" s="70" t="n">
        <f aca="false">M19+M31</f>
        <v>50235</v>
      </c>
      <c r="N33" s="70" t="n">
        <f aca="false">N19+N31</f>
        <v>50241.524</v>
      </c>
      <c r="O33" s="70" t="n">
        <f aca="false">O19+O31</f>
        <v>-8706.985</v>
      </c>
      <c r="P33" s="70" t="n">
        <f aca="false">P19+P31</f>
        <v>93.001</v>
      </c>
      <c r="R33" s="70" t="n">
        <f aca="false">R19+R31</f>
        <v>-372.188</v>
      </c>
    </row>
    <row r="34" customFormat="false" ht="12.75" hidden="false" customHeight="true" outlineLevel="3" collapsed="false">
      <c r="B34" s="58"/>
      <c r="C34" s="58"/>
    </row>
    <row r="35" customFormat="false" ht="12.75" hidden="false" customHeight="true" outlineLevel="3" collapsed="false">
      <c r="A35" s="61" t="s">
        <v>69</v>
      </c>
      <c r="B35" s="58"/>
      <c r="C35" s="58"/>
    </row>
    <row r="36" customFormat="false" ht="12.75" hidden="false" customHeight="true" outlineLevel="4" collapsed="false">
      <c r="A36" s="57" t="s">
        <v>70</v>
      </c>
      <c r="B36" s="58" t="n">
        <f aca="false">D36+R36</f>
        <v>204</v>
      </c>
      <c r="C36" s="58"/>
      <c r="D36" s="62" t="n">
        <f aca="false">SUM(E36:M36)+O36+P36</f>
        <v>204</v>
      </c>
      <c r="E36" s="62" t="n">
        <f aca="false">AprYTD!E36-MarYTD!E36</f>
        <v>204</v>
      </c>
      <c r="F36" s="62" t="n">
        <f aca="false">AprYTD!F36-MarYTD!F36</f>
        <v>0</v>
      </c>
      <c r="G36" s="62" t="n">
        <f aca="false">AprYTD!G36-MarYTD!G36</f>
        <v>0</v>
      </c>
      <c r="H36" s="62" t="n">
        <f aca="false">AprYTD!H36-MarYTD!H36</f>
        <v>0</v>
      </c>
      <c r="I36" s="62" t="n">
        <f aca="false">AprYTD!I36-MarYTD!I36</f>
        <v>0</v>
      </c>
      <c r="J36" s="62" t="n">
        <f aca="false">AprYTD!J36-MarYTD!J36</f>
        <v>0</v>
      </c>
      <c r="K36" s="62" t="n">
        <f aca="false">AprYTD!K36-MarYTD!K36</f>
        <v>0</v>
      </c>
      <c r="L36" s="62" t="n">
        <f aca="false">AprYTD!L36-MarYTD!L36</f>
        <v>0</v>
      </c>
      <c r="M36" s="62" t="n">
        <f aca="false">AprYTD!M36-MarYTD!M36</f>
        <v>0</v>
      </c>
      <c r="N36" s="76"/>
      <c r="O36" s="62" t="n">
        <f aca="false">AprYTD!O36-MarYTD!O36</f>
        <v>0</v>
      </c>
      <c r="P36" s="62" t="n">
        <f aca="false">AprYTD!P36-MarYTD!P36</f>
        <v>0</v>
      </c>
    </row>
    <row r="37" customFormat="false" ht="12.75" hidden="false" customHeight="true" outlineLevel="4" collapsed="false">
      <c r="A37" s="57" t="s">
        <v>71</v>
      </c>
      <c r="B37" s="58" t="n">
        <f aca="false">D37+R37</f>
        <v>-6670</v>
      </c>
      <c r="C37" s="58"/>
      <c r="D37" s="62" t="n">
        <f aca="false">SUM(E37:M37)+O37+P37</f>
        <v>-6670</v>
      </c>
      <c r="E37" s="62" t="n">
        <f aca="false">AprYTD!E37-MarYTD!E37</f>
        <v>-3028</v>
      </c>
      <c r="F37" s="62" t="n">
        <f aca="false">AprYTD!F37-MarYTD!F37</f>
        <v>-3642</v>
      </c>
      <c r="G37" s="62" t="n">
        <f aca="false">AprYTD!G37-MarYTD!G37</f>
        <v>0</v>
      </c>
      <c r="H37" s="62" t="n">
        <f aca="false">AprYTD!H37-MarYTD!H37</f>
        <v>0</v>
      </c>
      <c r="I37" s="62" t="n">
        <f aca="false">AprYTD!I37-MarYTD!I37</f>
        <v>0</v>
      </c>
      <c r="J37" s="62" t="n">
        <f aca="false">AprYTD!J37-MarYTD!J37</f>
        <v>0</v>
      </c>
      <c r="K37" s="62" t="n">
        <f aca="false">AprYTD!K37-MarYTD!K37</f>
        <v>0</v>
      </c>
      <c r="L37" s="62" t="n">
        <f aca="false">AprYTD!L37-MarYTD!L37</f>
        <v>0</v>
      </c>
      <c r="M37" s="62" t="n">
        <f aca="false">AprYTD!M37-MarYTD!M37</f>
        <v>0</v>
      </c>
      <c r="N37" s="62" t="n">
        <f aca="false">M37+L37</f>
        <v>0</v>
      </c>
      <c r="O37" s="62" t="n">
        <f aca="false">AprYTD!O37-MarYTD!O37</f>
        <v>0</v>
      </c>
      <c r="P37" s="62" t="n">
        <f aca="false">AprYTD!P37-MarYTD!P37</f>
        <v>0</v>
      </c>
    </row>
    <row r="38" customFormat="false" ht="12.75" hidden="false" customHeight="true" outlineLevel="4" collapsed="false">
      <c r="A38" s="57" t="s">
        <v>105</v>
      </c>
      <c r="B38" s="58" t="n">
        <f aca="false">D38+R38</f>
        <v>9080</v>
      </c>
      <c r="C38" s="58"/>
      <c r="D38" s="62" t="n">
        <f aca="false">SUM(E38:M38)+O38+P38</f>
        <v>9080</v>
      </c>
      <c r="E38" s="62" t="n">
        <f aca="false">AprYTD!E38-MarYTD!E38</f>
        <v>9127</v>
      </c>
      <c r="F38" s="62" t="n">
        <f aca="false">AprYTD!F38-MarYTD!F38</f>
        <v>-47</v>
      </c>
      <c r="G38" s="62" t="n">
        <f aca="false">AprYTD!G38-MarYTD!G38</f>
        <v>0</v>
      </c>
      <c r="H38" s="62" t="n">
        <f aca="false">AprYTD!H38-MarYTD!H38</f>
        <v>0</v>
      </c>
      <c r="I38" s="62" t="n">
        <f aca="false">AprYTD!I38-MarYTD!I38</f>
        <v>0</v>
      </c>
      <c r="J38" s="62" t="n">
        <f aca="false">AprYTD!J38-MarYTD!J38</f>
        <v>0</v>
      </c>
      <c r="K38" s="62" t="n">
        <f aca="false">AprYTD!K38-MarYTD!K38</f>
        <v>0</v>
      </c>
      <c r="L38" s="62" t="n">
        <f aca="false">AprYTD!L38-MarYTD!L38</f>
        <v>0</v>
      </c>
      <c r="M38" s="62" t="n">
        <f aca="false">AprYTD!M38-MarYTD!M38</f>
        <v>0</v>
      </c>
      <c r="N38" s="62" t="n">
        <f aca="false">M38+L38</f>
        <v>0</v>
      </c>
      <c r="O38" s="62" t="n">
        <f aca="false">AprYTD!O38-MarYTD!O38</f>
        <v>0</v>
      </c>
      <c r="P38" s="62" t="n">
        <f aca="false">AprYTD!P38-MarYTD!P38</f>
        <v>0</v>
      </c>
    </row>
    <row r="39" customFormat="false" ht="12.75" hidden="false" customHeight="true" outlineLevel="4" collapsed="false">
      <c r="A39" s="57" t="s">
        <v>106</v>
      </c>
      <c r="B39" s="58" t="n">
        <f aca="false">D39+R39</f>
        <v>28930</v>
      </c>
      <c r="C39" s="58"/>
      <c r="D39" s="62" t="n">
        <f aca="false">SUM(E39:P39)</f>
        <v>0</v>
      </c>
      <c r="E39" s="62" t="n">
        <f aca="false">AprYTD!E39-MarYTD!E39</f>
        <v>0</v>
      </c>
      <c r="F39" s="62" t="n">
        <f aca="false">AprYTD!F39-MarYTD!F39</f>
        <v>0</v>
      </c>
      <c r="G39" s="62" t="n">
        <f aca="false">AprYTD!G39-MarYTD!G39</f>
        <v>0</v>
      </c>
      <c r="H39" s="62" t="n">
        <f aca="false">AprYTD!H39-MarYTD!H39</f>
        <v>0</v>
      </c>
      <c r="I39" s="62" t="n">
        <f aca="false">AprYTD!I39-MarYTD!I39</f>
        <v>0</v>
      </c>
      <c r="J39" s="62" t="n">
        <f aca="false">AprYTD!J39-MarYTD!J39</f>
        <v>0</v>
      </c>
      <c r="K39" s="62" t="n">
        <f aca="false">AprYTD!K39-MarYTD!K39</f>
        <v>0</v>
      </c>
      <c r="L39" s="62" t="n">
        <f aca="false">AprYTD!L39-MarYTD!L39</f>
        <v>0</v>
      </c>
      <c r="M39" s="62" t="n">
        <f aca="false">AprYTD!M39-MarYTD!M39</f>
        <v>0</v>
      </c>
      <c r="N39" s="62" t="n">
        <f aca="false">M39+L39</f>
        <v>0</v>
      </c>
      <c r="O39" s="62" t="n">
        <f aca="false">AprYTD!O39-MarYTD!O39</f>
        <v>0</v>
      </c>
      <c r="P39" s="62" t="n">
        <f aca="false">AprYTD!P39-MarYTD!P39</f>
        <v>0</v>
      </c>
      <c r="R39" s="62" t="n">
        <f aca="false">AprYTD!R39-MarYTD!R39</f>
        <v>28930</v>
      </c>
    </row>
    <row r="40" customFormat="false" ht="12.75" hidden="false" customHeight="true" outlineLevel="4" collapsed="false">
      <c r="A40" s="57" t="s">
        <v>76</v>
      </c>
      <c r="B40" s="58" t="n">
        <f aca="false">D40+R40</f>
        <v>0</v>
      </c>
      <c r="C40" s="58"/>
      <c r="D40" s="62" t="n">
        <f aca="false">SUM(E40:P40)</f>
        <v>0</v>
      </c>
      <c r="E40" s="62" t="n">
        <f aca="false">AprYTD!E40-MarYTD!E40</f>
        <v>0</v>
      </c>
      <c r="F40" s="62" t="n">
        <f aca="false">AprYTD!F40-MarYTD!F40</f>
        <v>0</v>
      </c>
      <c r="G40" s="62" t="n">
        <f aca="false">AprYTD!G40-MarYTD!G40</f>
        <v>0</v>
      </c>
      <c r="H40" s="62" t="n">
        <f aca="false">AprYTD!H40-MarYTD!H40</f>
        <v>0</v>
      </c>
      <c r="I40" s="62" t="n">
        <f aca="false">AprYTD!I40-MarYTD!I40</f>
        <v>0</v>
      </c>
      <c r="J40" s="62" t="n">
        <f aca="false">AprYTD!J40-MarYTD!J40</f>
        <v>0</v>
      </c>
      <c r="K40" s="62" t="n">
        <f aca="false">AprYTD!K40-MarYTD!K40</f>
        <v>0</v>
      </c>
      <c r="L40" s="62" t="n">
        <f aca="false">AprYTD!L40-MarYTD!L40</f>
        <v>0</v>
      </c>
      <c r="M40" s="62" t="n">
        <f aca="false">AprYTD!M40-MarYTD!M40</f>
        <v>0</v>
      </c>
      <c r="N40" s="62" t="n">
        <f aca="false">M40+L40</f>
        <v>0</v>
      </c>
      <c r="O40" s="62" t="n">
        <f aca="false">AprYTD!O40-MarYTD!O40</f>
        <v>0</v>
      </c>
      <c r="P40" s="62" t="n">
        <f aca="false">AprYTD!P40-MarYTD!P40</f>
        <v>0</v>
      </c>
      <c r="R40" s="62" t="n">
        <f aca="false">AprYTD!R40-MarYTD!R40</f>
        <v>0</v>
      </c>
    </row>
    <row r="41" customFormat="false" ht="12.75" hidden="false" customHeight="true" outlineLevel="4" collapsed="false">
      <c r="A41" s="57" t="s">
        <v>77</v>
      </c>
      <c r="B41" s="63" t="n">
        <f aca="false">D41+R41</f>
        <v>8</v>
      </c>
      <c r="C41" s="58"/>
      <c r="D41" s="64" t="n">
        <f aca="false">SUM(E41:M41)+O41+P41</f>
        <v>8</v>
      </c>
      <c r="E41" s="64" t="n">
        <f aca="false">AprYTD!E41-MarYTD!E41</f>
        <v>8</v>
      </c>
      <c r="F41" s="64" t="n">
        <f aca="false">AprYTD!F41-MarYTD!F41</f>
        <v>0</v>
      </c>
      <c r="G41" s="64" t="n">
        <f aca="false">AprYTD!G41-MarYTD!G41</f>
        <v>0</v>
      </c>
      <c r="H41" s="64" t="n">
        <f aca="false">AprYTD!H41-MarYTD!H41</f>
        <v>0</v>
      </c>
      <c r="I41" s="64" t="n">
        <f aca="false">AprYTD!I41-MarYTD!I41</f>
        <v>0</v>
      </c>
      <c r="J41" s="64" t="n">
        <f aca="false">AprYTD!J41-MarYTD!J41</f>
        <v>0</v>
      </c>
      <c r="K41" s="64" t="n">
        <f aca="false">AprYTD!K41-MarYTD!K41</f>
        <v>0</v>
      </c>
      <c r="L41" s="64" t="n">
        <f aca="false">AprYTD!L41-MarYTD!L41</f>
        <v>0</v>
      </c>
      <c r="M41" s="64" t="n">
        <f aca="false">AprYTD!M41-MarYTD!M41</f>
        <v>0</v>
      </c>
      <c r="N41" s="64" t="n">
        <f aca="false">M41+L41</f>
        <v>0</v>
      </c>
      <c r="O41" s="64" t="n">
        <f aca="false">AprYTD!O41-MarYTD!O41</f>
        <v>0</v>
      </c>
      <c r="P41" s="64" t="n">
        <f aca="false">AprYTD!P41-MarYTD!P41</f>
        <v>0</v>
      </c>
      <c r="R41" s="50"/>
    </row>
    <row r="42" customFormat="false" ht="12.75" hidden="false" customHeight="true" outlineLevel="3" collapsed="false">
      <c r="A42" s="57" t="s">
        <v>78</v>
      </c>
      <c r="B42" s="70" t="n">
        <f aca="false">SUM(B36:B41)</f>
        <v>31552</v>
      </c>
      <c r="C42" s="71" t="n">
        <f aca="false">SUM(C36:C41)</f>
        <v>0</v>
      </c>
      <c r="D42" s="70" t="n">
        <f aca="false">SUM(D36:D41)</f>
        <v>2622</v>
      </c>
      <c r="E42" s="70" t="n">
        <f aca="false">SUM(E36:E41)</f>
        <v>6311</v>
      </c>
      <c r="F42" s="70" t="n">
        <f aca="false">SUM(F36:F41)</f>
        <v>-3689</v>
      </c>
      <c r="G42" s="70" t="n">
        <f aca="false">SUM(G36:G41)</f>
        <v>0</v>
      </c>
      <c r="H42" s="70" t="n">
        <f aca="false">SUM(H36:H41)</f>
        <v>0</v>
      </c>
      <c r="I42" s="70" t="n">
        <f aca="false">SUM(I36:I41)</f>
        <v>0</v>
      </c>
      <c r="J42" s="70" t="n">
        <f aca="false">SUM(J36:J41)</f>
        <v>0</v>
      </c>
      <c r="K42" s="70" t="n">
        <f aca="false">SUM(K36:K41)</f>
        <v>0</v>
      </c>
      <c r="L42" s="70" t="n">
        <f aca="false">SUM(L36:L41)</f>
        <v>0</v>
      </c>
      <c r="M42" s="70" t="n">
        <f aca="false">SUM(M36:M41)</f>
        <v>0</v>
      </c>
      <c r="N42" s="70" t="n">
        <f aca="false">SUM(N36:N41)</f>
        <v>0</v>
      </c>
      <c r="O42" s="70" t="n">
        <f aca="false">SUM(O36:O41)</f>
        <v>0</v>
      </c>
      <c r="P42" s="70" t="n">
        <f aca="false">SUM(P36:P41)</f>
        <v>0</v>
      </c>
      <c r="R42" s="66" t="n">
        <f aca="false">SUM(R36:R41)</f>
        <v>28930</v>
      </c>
    </row>
    <row r="43" customFormat="false" ht="12.75" hidden="false" customHeight="true" outlineLevel="3" collapsed="false">
      <c r="B43" s="58"/>
      <c r="C43" s="58"/>
    </row>
    <row r="44" customFormat="false" ht="12.75" hidden="false" customHeight="true" outlineLevel="3" collapsed="false">
      <c r="A44" s="61" t="s">
        <v>79</v>
      </c>
      <c r="B44" s="58"/>
      <c r="C44" s="58"/>
    </row>
    <row r="45" customFormat="false" ht="12.75" hidden="false" customHeight="true" outlineLevel="4" collapsed="false">
      <c r="A45" s="57" t="s">
        <v>80</v>
      </c>
      <c r="B45" s="58" t="n">
        <f aca="false">D45+R45</f>
        <v>0</v>
      </c>
      <c r="C45" s="58"/>
      <c r="D45" s="62" t="n">
        <f aca="false">SUM(E45:P45)</f>
        <v>0</v>
      </c>
      <c r="E45" s="62" t="n">
        <f aca="false">AprYTD!E45-MarYTD!E45</f>
        <v>0</v>
      </c>
      <c r="F45" s="62" t="n">
        <f aca="false">AprYTD!F45-MarYTD!F45</f>
        <v>0</v>
      </c>
      <c r="G45" s="62" t="n">
        <f aca="false">AprYTD!G45-MarYTD!G45</f>
        <v>0</v>
      </c>
      <c r="H45" s="62" t="n">
        <f aca="false">AprYTD!H45-MarYTD!H45</f>
        <v>0</v>
      </c>
      <c r="I45" s="62" t="n">
        <f aca="false">AprYTD!I45-MarYTD!I45</f>
        <v>0</v>
      </c>
      <c r="J45" s="62" t="n">
        <f aca="false">AprYTD!J45-MarYTD!J45</f>
        <v>0</v>
      </c>
      <c r="K45" s="62" t="n">
        <f aca="false">AprYTD!K45-MarYTD!K45</f>
        <v>0</v>
      </c>
      <c r="L45" s="62" t="n">
        <f aca="false">AprYTD!L45-MarYTD!L45</f>
        <v>0</v>
      </c>
      <c r="M45" s="62" t="n">
        <f aca="false">AprYTD!M45-MarYTD!M45</f>
        <v>0</v>
      </c>
      <c r="N45" s="62"/>
      <c r="O45" s="62" t="n">
        <f aca="false">AprYTD!O45-MarYTD!O45</f>
        <v>0</v>
      </c>
      <c r="P45" s="62" t="n">
        <f aca="false">AprYTD!P45-MarYTD!P45</f>
        <v>0</v>
      </c>
    </row>
    <row r="46" customFormat="false" ht="12.75" hidden="false" customHeight="true" outlineLevel="4" collapsed="false">
      <c r="A46" s="57" t="s">
        <v>81</v>
      </c>
      <c r="B46" s="58" t="n">
        <f aca="false">D46+R46</f>
        <v>0</v>
      </c>
      <c r="C46" s="58"/>
      <c r="D46" s="62" t="n">
        <f aca="false">SUM(E46:M46)+O46+P46</f>
        <v>0</v>
      </c>
      <c r="E46" s="62" t="n">
        <f aca="false">AprYTD!E46-MarYTD!E46</f>
        <v>0</v>
      </c>
      <c r="F46" s="62" t="n">
        <f aca="false">AprYTD!F46-MarYTD!F46</f>
        <v>0</v>
      </c>
      <c r="G46" s="62" t="n">
        <f aca="false">AprYTD!G46-MarYTD!G46</f>
        <v>0</v>
      </c>
      <c r="H46" s="62" t="n">
        <f aca="false">AprYTD!H46-MarYTD!H46</f>
        <v>0</v>
      </c>
      <c r="I46" s="62" t="n">
        <f aca="false">AprYTD!I46-MarYTD!I46</f>
        <v>0</v>
      </c>
      <c r="J46" s="62" t="n">
        <f aca="false">AprYTD!J46-MarYTD!J46</f>
        <v>0</v>
      </c>
      <c r="K46" s="62" t="n">
        <f aca="false">AprYTD!K46-MarYTD!K46</f>
        <v>0</v>
      </c>
      <c r="L46" s="62" t="n">
        <f aca="false">AprYTD!L46-MarYTD!L46</f>
        <v>0</v>
      </c>
      <c r="M46" s="62" t="n">
        <f aca="false">AprYTD!M46-MarYTD!M46</f>
        <v>0</v>
      </c>
      <c r="N46" s="62"/>
      <c r="O46" s="62" t="n">
        <f aca="false">AprYTD!O46-MarYTD!O46</f>
        <v>0</v>
      </c>
      <c r="P46" s="62" t="n">
        <f aca="false">AprYTD!P46-MarYTD!P46</f>
        <v>0</v>
      </c>
    </row>
    <row r="47" customFormat="false" ht="12.75" hidden="false" customHeight="true" outlineLevel="4" collapsed="false">
      <c r="A47" s="57" t="s">
        <v>83</v>
      </c>
      <c r="B47" s="58" t="n">
        <f aca="false">D47+R47</f>
        <v>0</v>
      </c>
      <c r="C47" s="58"/>
      <c r="D47" s="62" t="n">
        <f aca="false">SUM(E47:P47)</f>
        <v>0</v>
      </c>
      <c r="E47" s="62" t="n">
        <f aca="false">AprYTD!E47-MarYTD!E47</f>
        <v>0</v>
      </c>
      <c r="F47" s="62" t="n">
        <f aca="false">AprYTD!F47-MarYTD!F47</f>
        <v>0</v>
      </c>
      <c r="G47" s="62" t="n">
        <f aca="false">AprYTD!G47-MarYTD!G47</f>
        <v>0</v>
      </c>
      <c r="H47" s="62" t="n">
        <f aca="false">AprYTD!H47-MarYTD!H47</f>
        <v>0</v>
      </c>
      <c r="I47" s="62" t="n">
        <f aca="false">AprYTD!I47-MarYTD!I47</f>
        <v>0</v>
      </c>
      <c r="J47" s="62" t="n">
        <f aca="false">AprYTD!J47-MarYTD!J47</f>
        <v>0</v>
      </c>
      <c r="K47" s="62" t="n">
        <f aca="false">AprYTD!K47-MarYTD!K47</f>
        <v>0</v>
      </c>
      <c r="L47" s="62" t="n">
        <f aca="false">AprYTD!L47-MarYTD!L47</f>
        <v>0</v>
      </c>
      <c r="M47" s="62" t="n">
        <f aca="false">AprYTD!M47-MarYTD!M47</f>
        <v>0</v>
      </c>
      <c r="N47" s="62"/>
      <c r="O47" s="62" t="n">
        <f aca="false">AprYTD!O47-MarYTD!O47</f>
        <v>0</v>
      </c>
      <c r="P47" s="62" t="n">
        <f aca="false">AprYTD!P47-MarYTD!P47</f>
        <v>0</v>
      </c>
    </row>
    <row r="48" customFormat="false" ht="12.75" hidden="false" customHeight="true" outlineLevel="4" collapsed="false">
      <c r="A48" s="57" t="s">
        <v>84</v>
      </c>
      <c r="B48" s="58" t="n">
        <f aca="false">D48+R48</f>
        <v>0</v>
      </c>
      <c r="C48" s="58"/>
      <c r="D48" s="62" t="n">
        <f aca="false">SUM(E48:M48)+O48+P48</f>
        <v>0</v>
      </c>
      <c r="E48" s="62" t="n">
        <f aca="false">AprYTD!E48-MarYTD!E48</f>
        <v>0</v>
      </c>
      <c r="F48" s="62" t="n">
        <f aca="false">AprYTD!F48-MarYTD!F48</f>
        <v>0</v>
      </c>
      <c r="G48" s="62" t="n">
        <f aca="false">AprYTD!G48-MarYTD!G48</f>
        <v>0</v>
      </c>
      <c r="H48" s="62" t="n">
        <f aca="false">AprYTD!H48-MarYTD!H48</f>
        <v>0</v>
      </c>
      <c r="I48" s="62" t="n">
        <f aca="false">AprYTD!I48-MarYTD!I48</f>
        <v>0</v>
      </c>
      <c r="J48" s="62" t="n">
        <f aca="false">AprYTD!J48-MarYTD!J48</f>
        <v>0</v>
      </c>
      <c r="K48" s="62" t="n">
        <f aca="false">AprYTD!K48-MarYTD!K48</f>
        <v>0</v>
      </c>
      <c r="L48" s="62" t="n">
        <f aca="false">AprYTD!L48-MarYTD!L48</f>
        <v>0</v>
      </c>
      <c r="M48" s="62" t="n">
        <f aca="false">AprYTD!M48-MarYTD!M48</f>
        <v>0</v>
      </c>
      <c r="N48" s="62"/>
      <c r="O48" s="62" t="n">
        <f aca="false">AprYTD!O48-MarYTD!O48</f>
        <v>0</v>
      </c>
      <c r="P48" s="62" t="n">
        <f aca="false">AprYTD!P48-MarYTD!P48</f>
        <v>0</v>
      </c>
    </row>
    <row r="49" customFormat="false" ht="12.75" hidden="false" customHeight="true" outlineLevel="4" collapsed="false">
      <c r="A49" s="57" t="s">
        <v>107</v>
      </c>
      <c r="B49" s="58" t="n">
        <f aca="false">D49+R49</f>
        <v>0</v>
      </c>
      <c r="C49" s="58"/>
      <c r="D49" s="62" t="n">
        <f aca="false">SUM(E49:P49)</f>
        <v>0</v>
      </c>
      <c r="E49" s="62" t="n">
        <f aca="false">AprYTD!E49-MarYTD!E49</f>
        <v>0</v>
      </c>
      <c r="F49" s="62" t="n">
        <f aca="false">AprYTD!F49-MarYTD!F49</f>
        <v>0</v>
      </c>
      <c r="G49" s="62" t="n">
        <f aca="false">AprYTD!G49-MarYTD!G49</f>
        <v>0</v>
      </c>
      <c r="H49" s="62" t="n">
        <f aca="false">AprYTD!H49-MarYTD!H49</f>
        <v>0</v>
      </c>
      <c r="I49" s="62" t="n">
        <f aca="false">AprYTD!I49-MarYTD!I49</f>
        <v>0</v>
      </c>
      <c r="J49" s="62" t="n">
        <f aca="false">AprYTD!J49-MarYTD!J49</f>
        <v>0</v>
      </c>
      <c r="K49" s="62" t="n">
        <f aca="false">AprYTD!K49-MarYTD!K49</f>
        <v>0</v>
      </c>
      <c r="L49" s="62" t="n">
        <f aca="false">AprYTD!L49-MarYTD!L49</f>
        <v>0</v>
      </c>
      <c r="M49" s="62" t="n">
        <f aca="false">AprYTD!M49-MarYTD!M49</f>
        <v>0</v>
      </c>
      <c r="N49" s="75"/>
      <c r="O49" s="62" t="n">
        <f aca="false">AprYTD!O49-MarYTD!O49</f>
        <v>0</v>
      </c>
      <c r="P49" s="62" t="n">
        <f aca="false">AprYTD!P49-MarYTD!P49</f>
        <v>0</v>
      </c>
      <c r="R49" s="50"/>
    </row>
    <row r="50" customFormat="false" ht="12.75" hidden="false" customHeight="true" outlineLevel="3" collapsed="false">
      <c r="A50" s="57" t="s">
        <v>86</v>
      </c>
      <c r="B50" s="72" t="n">
        <f aca="false">SUM(B45:B49)</f>
        <v>0</v>
      </c>
      <c r="C50" s="58"/>
      <c r="D50" s="72" t="n">
        <f aca="false">SUM(D45:D49)</f>
        <v>0</v>
      </c>
      <c r="E50" s="72" t="n">
        <f aca="false">SUM(E45:E49)</f>
        <v>0</v>
      </c>
      <c r="F50" s="72" t="n">
        <f aca="false">SUM(F45:F49)</f>
        <v>0</v>
      </c>
      <c r="G50" s="72" t="n">
        <f aca="false">SUM(G45:G49)</f>
        <v>0</v>
      </c>
      <c r="H50" s="72" t="n">
        <f aca="false">SUM(H45:H49)</f>
        <v>0</v>
      </c>
      <c r="I50" s="72" t="n">
        <f aca="false">SUM(I45:I49)</f>
        <v>0</v>
      </c>
      <c r="J50" s="72" t="n">
        <f aca="false">SUM(J45:J49)</f>
        <v>0</v>
      </c>
      <c r="K50" s="72" t="n">
        <f aca="false">SUM(K45:K49)</f>
        <v>0</v>
      </c>
      <c r="L50" s="72" t="n">
        <f aca="false">SUM(L45:L49)</f>
        <v>0</v>
      </c>
      <c r="M50" s="72" t="n">
        <f aca="false">SUM(M45:M49)</f>
        <v>0</v>
      </c>
      <c r="N50" s="72" t="n">
        <f aca="false">SUM(N45:N49)</f>
        <v>0</v>
      </c>
      <c r="O50" s="72" t="n">
        <f aca="false">SUM(O45:O49)</f>
        <v>0</v>
      </c>
      <c r="P50" s="72" t="n">
        <f aca="false">SUM(P45:P49)</f>
        <v>0</v>
      </c>
      <c r="R50" s="72" t="n">
        <f aca="false">SUM(R45:R49)</f>
        <v>0</v>
      </c>
    </row>
    <row r="51" customFormat="false" ht="12.75" hidden="false" customHeight="true" outlineLevel="3" collapsed="false">
      <c r="A51" s="57"/>
      <c r="B51" s="71"/>
      <c r="C51" s="58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R51" s="71"/>
    </row>
    <row r="52" customFormat="false" ht="12.75" hidden="false" customHeight="true" outlineLevel="2" collapsed="false">
      <c r="A52" s="57" t="s">
        <v>87</v>
      </c>
      <c r="B52" s="71" t="n">
        <f aca="false">B33+B42+B50</f>
        <v>116301.374</v>
      </c>
      <c r="C52" s="58"/>
      <c r="D52" s="71" t="n">
        <f aca="false">D33+D42+D50</f>
        <v>87743.562</v>
      </c>
      <c r="E52" s="71" t="n">
        <f aca="false">E33+E42+E50</f>
        <v>42303.277</v>
      </c>
      <c r="F52" s="71" t="n">
        <f aca="false">F33+F42+F50</f>
        <v>6005.493</v>
      </c>
      <c r="G52" s="71" t="n">
        <f aca="false">G33+G42+G50</f>
        <v>0</v>
      </c>
      <c r="H52" s="71" t="n">
        <f aca="false">H33+H42+H50</f>
        <v>595.569</v>
      </c>
      <c r="I52" s="71" t="n">
        <f aca="false">I33+I42+I50</f>
        <v>-1.056</v>
      </c>
      <c r="J52" s="71" t="n">
        <f aca="false">J33+J42+J50</f>
        <v>-2716.596</v>
      </c>
      <c r="K52" s="71" t="n">
        <f aca="false">K33+K42+K50</f>
        <v>-70.665</v>
      </c>
      <c r="L52" s="71" t="n">
        <f aca="false">L33+L42+L50</f>
        <v>6.52399999999989</v>
      </c>
      <c r="M52" s="71" t="n">
        <f aca="false">M33+M42+M50</f>
        <v>50235</v>
      </c>
      <c r="N52" s="71" t="n">
        <f aca="false">M52+L52</f>
        <v>50241.524</v>
      </c>
      <c r="O52" s="71" t="n">
        <f aca="false">O33+O42+O50</f>
        <v>-8706.985</v>
      </c>
      <c r="P52" s="71" t="n">
        <f aca="false">P33+P42+P50</f>
        <v>93.001</v>
      </c>
      <c r="R52" s="71" t="n">
        <f aca="false">R33+R42+R50</f>
        <v>28557.812</v>
      </c>
    </row>
    <row r="53" customFormat="false" ht="12.75" hidden="false" customHeight="true" outlineLevel="2" collapsed="false">
      <c r="A53" s="57"/>
      <c r="B53" s="71"/>
      <c r="C53" s="58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R53" s="71"/>
    </row>
    <row r="54" customFormat="false" ht="12.75" hidden="false" customHeight="true" outlineLevel="2" collapsed="false">
      <c r="A54" s="57" t="s">
        <v>88</v>
      </c>
      <c r="B54" s="63" t="n">
        <f aca="false">D54+R54</f>
        <v>-147</v>
      </c>
      <c r="C54" s="58"/>
      <c r="D54" s="64" t="n">
        <f aca="false">SUM(E54:M54)+O54+P54</f>
        <v>0</v>
      </c>
      <c r="E54" s="77" t="n">
        <v>0</v>
      </c>
      <c r="F54" s="77" t="n">
        <v>0</v>
      </c>
      <c r="G54" s="77" t="n">
        <v>0</v>
      </c>
      <c r="H54" s="77" t="n">
        <v>0</v>
      </c>
      <c r="I54" s="77" t="n">
        <v>0</v>
      </c>
      <c r="J54" s="77" t="n">
        <v>0</v>
      </c>
      <c r="K54" s="77" t="n">
        <v>0</v>
      </c>
      <c r="L54" s="77" t="n">
        <v>0</v>
      </c>
      <c r="M54" s="77" t="n">
        <v>0</v>
      </c>
      <c r="N54" s="77"/>
      <c r="O54" s="50"/>
      <c r="P54" s="77" t="n">
        <f aca="false">AprYTD!P54-MarYTD!P54</f>
        <v>0</v>
      </c>
      <c r="R54" s="64" t="n">
        <f aca="false">AprYTD!R54-MarYTD!R54</f>
        <v>-147</v>
      </c>
    </row>
    <row r="55" customFormat="false" ht="12.75" hidden="false" customHeight="true" outlineLevel="2" collapsed="false">
      <c r="A55" s="57"/>
      <c r="B55" s="58"/>
      <c r="C55" s="58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R55" s="42"/>
    </row>
    <row r="56" customFormat="false" ht="12.75" hidden="false" customHeight="true" outlineLevel="1" collapsed="false">
      <c r="A56" s="57" t="s">
        <v>89</v>
      </c>
      <c r="B56" s="74" t="n">
        <f aca="false">B54+B52</f>
        <v>116154.374</v>
      </c>
      <c r="C56" s="58"/>
      <c r="D56" s="74" t="n">
        <f aca="false">D54+D52</f>
        <v>87743.562</v>
      </c>
      <c r="E56" s="74" t="n">
        <f aca="false">E54+E52</f>
        <v>42303.277</v>
      </c>
      <c r="F56" s="74" t="n">
        <f aca="false">F54+F52</f>
        <v>6005.493</v>
      </c>
      <c r="G56" s="74" t="n">
        <f aca="false">G54+G52</f>
        <v>0</v>
      </c>
      <c r="H56" s="74" t="n">
        <f aca="false">H54+H52</f>
        <v>595.569</v>
      </c>
      <c r="I56" s="74" t="n">
        <f aca="false">I54+I52</f>
        <v>-1.056</v>
      </c>
      <c r="J56" s="74" t="n">
        <f aca="false">J54+J52</f>
        <v>-2716.596</v>
      </c>
      <c r="K56" s="74" t="n">
        <f aca="false">K54+K52</f>
        <v>-70.665</v>
      </c>
      <c r="L56" s="74" t="n">
        <f aca="false">L54+L52</f>
        <v>6.52399999999989</v>
      </c>
      <c r="M56" s="74" t="n">
        <f aca="false">M54+M52</f>
        <v>50235</v>
      </c>
      <c r="N56" s="74" t="n">
        <f aca="false">N54+N52</f>
        <v>50241.524</v>
      </c>
      <c r="O56" s="74" t="n">
        <f aca="false">O54+O52</f>
        <v>-8706.985</v>
      </c>
      <c r="P56" s="74" t="n">
        <f aca="false">P54+P52</f>
        <v>93.001</v>
      </c>
      <c r="R56" s="74" t="n">
        <f aca="false">R54+R52</f>
        <v>28410.812</v>
      </c>
    </row>
    <row r="57" customFormat="false" ht="12.75" hidden="false" customHeight="true" outlineLevel="1" collapsed="false">
      <c r="B57" s="42"/>
      <c r="C57" s="42"/>
    </row>
    <row r="58" customFormat="false" ht="12.75" hidden="false" customHeight="true" outlineLevel="0" collapsed="false">
      <c r="A58" s="40" t="s">
        <v>90</v>
      </c>
      <c r="B58" s="64" t="n">
        <f aca="false">D58+R58</f>
        <v>-6</v>
      </c>
      <c r="C58" s="42"/>
      <c r="D58" s="64" t="n">
        <f aca="false">SUM(E58:P58)</f>
        <v>-6</v>
      </c>
      <c r="E58" s="64" t="n">
        <f aca="false">AprYTD!E58-MarYTD!E58</f>
        <v>-6</v>
      </c>
      <c r="F58" s="64" t="n">
        <f aca="false">AprYTD!F58-MarYTD!F58</f>
        <v>0</v>
      </c>
      <c r="G58" s="64" t="n">
        <f aca="false">AprYTD!G58-MarYTD!G58</f>
        <v>0</v>
      </c>
      <c r="H58" s="64" t="n">
        <f aca="false">AprYTD!H58-MarYTD!H58</f>
        <v>0</v>
      </c>
      <c r="I58" s="64" t="n">
        <f aca="false">AprYTD!I58-MarYTD!I58</f>
        <v>0</v>
      </c>
      <c r="J58" s="64" t="n">
        <f aca="false">AprYTD!J58-MarYTD!J58</f>
        <v>227</v>
      </c>
      <c r="K58" s="64" t="n">
        <f aca="false">AprYTD!K58-MarYTD!K58</f>
        <v>-227</v>
      </c>
      <c r="L58" s="64" t="n">
        <f aca="false">AprYTD!L58-MarYTD!L58</f>
        <v>0</v>
      </c>
      <c r="M58" s="64" t="n">
        <f aca="false">AprYTD!M58-MarYTD!M58</f>
        <v>0</v>
      </c>
      <c r="N58" s="77"/>
      <c r="O58" s="64" t="n">
        <f aca="false">AprYTD!O58-MarYTD!O58</f>
        <v>0</v>
      </c>
      <c r="P58" s="64" t="n">
        <f aca="false">AprYTD!P58-MarYTD!P58</f>
        <v>0</v>
      </c>
      <c r="R58" s="50"/>
    </row>
    <row r="59" customFormat="false" ht="12.75" hidden="false" customHeight="true" outlineLevel="0" collapsed="false">
      <c r="B59" s="42"/>
      <c r="C59" s="42"/>
    </row>
    <row r="60" customFormat="false" ht="12.75" hidden="false" customHeight="true" outlineLevel="0" collapsed="false">
      <c r="A60" s="40" t="s">
        <v>91</v>
      </c>
      <c r="B60" s="74" t="n">
        <f aca="false">B56+B58</f>
        <v>116148.374</v>
      </c>
      <c r="C60" s="42"/>
      <c r="D60" s="74" t="n">
        <f aca="false">D56+D58</f>
        <v>87737.562</v>
      </c>
      <c r="E60" s="74" t="n">
        <f aca="false">E56+E58</f>
        <v>42297.277</v>
      </c>
      <c r="F60" s="74" t="n">
        <f aca="false">F56+F58</f>
        <v>6005.493</v>
      </c>
      <c r="G60" s="74" t="n">
        <f aca="false">G56+G58</f>
        <v>0</v>
      </c>
      <c r="H60" s="74" t="n">
        <f aca="false">H56+H58</f>
        <v>595.569</v>
      </c>
      <c r="I60" s="74" t="n">
        <f aca="false">I56+I58</f>
        <v>-1.056</v>
      </c>
      <c r="J60" s="74" t="n">
        <f aca="false">J56+J58</f>
        <v>-2489.596</v>
      </c>
      <c r="K60" s="74" t="n">
        <f aca="false">K56+K58</f>
        <v>-297.665</v>
      </c>
      <c r="L60" s="74" t="n">
        <f aca="false">L56+L58</f>
        <v>6.52399999999989</v>
      </c>
      <c r="M60" s="74" t="n">
        <f aca="false">M56+M58</f>
        <v>50235</v>
      </c>
      <c r="N60" s="74" t="n">
        <f aca="false">M60+L60</f>
        <v>50241.524</v>
      </c>
      <c r="O60" s="74" t="n">
        <f aca="false">O56+O58</f>
        <v>-8706.985</v>
      </c>
      <c r="P60" s="74" t="n">
        <f aca="false">P56+P58</f>
        <v>93.001</v>
      </c>
      <c r="R60" s="74" t="n">
        <f aca="false">R56+R58</f>
        <v>28410.812</v>
      </c>
    </row>
    <row r="61" customFormat="false" ht="12.75" hidden="false" customHeight="true" outlineLevel="0" collapsed="false">
      <c r="B61" s="42"/>
      <c r="C61" s="42"/>
    </row>
    <row r="62" customFormat="false" ht="12.75" hidden="false" customHeight="true" outlineLevel="0" collapsed="false">
      <c r="B62" s="42"/>
      <c r="C62" s="42"/>
    </row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5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78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R28" activeCellId="0" sqref="R28"/>
    </sheetView>
  </sheetViews>
  <sheetFormatPr defaultColWidth="8.9921875" defaultRowHeight="12.75" customHeight="true" zeroHeight="false" outlineLevelRow="4" outlineLevelCol="0"/>
  <cols>
    <col collapsed="false" customWidth="true" hidden="false" outlineLevel="0" max="1" min="1" style="40" width="67.99"/>
    <col collapsed="false" customWidth="true" hidden="false" outlineLevel="0" max="2" min="2" style="40" width="14.49"/>
    <col collapsed="false" customWidth="true" hidden="false" outlineLevel="0" max="3" min="3" style="40" width="1.82"/>
    <col collapsed="false" customWidth="true" hidden="false" outlineLevel="0" max="4" min="4" style="40" width="11.82"/>
    <col collapsed="false" customWidth="true" hidden="false" outlineLevel="0" max="5" min="5" style="40" width="10.65"/>
    <col collapsed="false" customWidth="true" hidden="false" outlineLevel="0" max="6" min="6" style="40" width="10.82"/>
    <col collapsed="false" customWidth="true" hidden="false" outlineLevel="0" max="7" min="7" style="40" width="12.82"/>
    <col collapsed="false" customWidth="true" hidden="false" outlineLevel="0" max="11" min="8" style="40" width="10.82"/>
    <col collapsed="false" customWidth="true" hidden="true" outlineLevel="0" max="13" min="12" style="40" width="10.82"/>
    <col collapsed="false" customWidth="true" hidden="false" outlineLevel="0" max="15" min="14" style="40" width="12.16"/>
    <col collapsed="false" customWidth="true" hidden="false" outlineLevel="0" max="16" min="16" style="40" width="10.82"/>
    <col collapsed="false" customWidth="true" hidden="false" outlineLevel="0" max="17" min="17" style="40" width="3.65"/>
    <col collapsed="false" customWidth="true" hidden="false" outlineLevel="0" max="18" min="18" style="40" width="10.16"/>
    <col collapsed="false" customWidth="false" hidden="false" outlineLevel="0" max="257" min="19" style="40" width="8.99"/>
  </cols>
  <sheetData>
    <row r="1" customFormat="false" ht="12.75" hidden="false" customHeight="true" outlineLevel="0" collapsed="false">
      <c r="A1" s="41" t="s">
        <v>18</v>
      </c>
      <c r="B1" s="42"/>
      <c r="C1" s="42"/>
      <c r="D1" s="42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customFormat="false" ht="12.75" hidden="false" customHeight="true" outlineLevel="0" collapsed="false">
      <c r="A2" s="44" t="s">
        <v>19</v>
      </c>
      <c r="D2" s="45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customFormat="false" ht="12.75" hidden="false" customHeight="true" outlineLevel="0" collapsed="false">
      <c r="A3" s="47" t="s">
        <v>118</v>
      </c>
      <c r="B3" s="42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</row>
    <row r="4" customFormat="false" ht="12.75" hidden="false" customHeight="true" outlineLevel="0" collapsed="false">
      <c r="A4" s="42"/>
      <c r="B4" s="49" t="s">
        <v>97</v>
      </c>
      <c r="C4" s="50"/>
      <c r="D4" s="51"/>
      <c r="I4" s="52" t="s">
        <v>98</v>
      </c>
      <c r="J4" s="52" t="s">
        <v>28</v>
      </c>
      <c r="K4" s="52" t="s">
        <v>29</v>
      </c>
      <c r="L4" s="52" t="s">
        <v>30</v>
      </c>
      <c r="M4" s="52" t="s">
        <v>31</v>
      </c>
      <c r="N4" s="52" t="s">
        <v>30</v>
      </c>
      <c r="O4" s="52" t="s">
        <v>32</v>
      </c>
      <c r="R4" s="53" t="s">
        <v>21</v>
      </c>
    </row>
    <row r="5" customFormat="false" ht="12.75" hidden="false" customHeight="true" outlineLevel="0" collapsed="false">
      <c r="A5" s="54" t="s">
        <v>34</v>
      </c>
      <c r="B5" s="55" t="s">
        <v>100</v>
      </c>
      <c r="C5" s="52"/>
      <c r="D5" s="51" t="s">
        <v>35</v>
      </c>
      <c r="E5" s="51" t="s">
        <v>22</v>
      </c>
      <c r="F5" s="51" t="s">
        <v>23</v>
      </c>
      <c r="G5" s="51" t="s">
        <v>24</v>
      </c>
      <c r="H5" s="51" t="s">
        <v>25</v>
      </c>
      <c r="I5" s="51" t="n">
        <v>543</v>
      </c>
      <c r="J5" s="51" t="n">
        <v>584</v>
      </c>
      <c r="K5" s="51" t="n">
        <v>583</v>
      </c>
      <c r="L5" s="51" t="s">
        <v>36</v>
      </c>
      <c r="M5" s="51"/>
      <c r="N5" s="51" t="s">
        <v>37</v>
      </c>
      <c r="O5" s="51" t="s">
        <v>38</v>
      </c>
      <c r="P5" s="51" t="s">
        <v>33</v>
      </c>
      <c r="R5" s="56" t="s">
        <v>102</v>
      </c>
    </row>
    <row r="6" customFormat="false" ht="12.75" hidden="false" customHeight="true" outlineLevel="2" collapsed="false">
      <c r="A6" s="57"/>
      <c r="B6" s="58"/>
      <c r="C6" s="58"/>
      <c r="D6" s="59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</row>
    <row r="7" customFormat="false" ht="12.75" hidden="false" customHeight="true" outlineLevel="4" collapsed="false">
      <c r="A7" s="61" t="s">
        <v>39</v>
      </c>
      <c r="B7" s="58"/>
      <c r="C7" s="58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</row>
    <row r="8" customFormat="false" ht="12.75" hidden="false" customHeight="true" outlineLevel="4" collapsed="false">
      <c r="A8" s="57" t="s">
        <v>40</v>
      </c>
      <c r="B8" s="58" t="n">
        <f aca="false">D8+R8</f>
        <v>98554.034</v>
      </c>
      <c r="C8" s="58"/>
      <c r="D8" s="62" t="n">
        <f aca="false">SUM(E8:M8)+O8+P8</f>
        <v>99362.055</v>
      </c>
      <c r="E8" s="62" t="n">
        <f aca="false">[14]04YTD!J$65</f>
        <v>64042.152</v>
      </c>
      <c r="F8" s="62" t="n">
        <f aca="false">[14]04YTD!K$65</f>
        <v>18401.785</v>
      </c>
      <c r="G8" s="62" t="n">
        <f aca="false">[14]04YTD!L$65</f>
        <v>11728.146</v>
      </c>
      <c r="H8" s="62" t="n">
        <f aca="false">[14]04YTD!M$65</f>
        <v>1113.874</v>
      </c>
      <c r="I8" s="62" t="n">
        <f aca="false">[14]04YTD!N$65</f>
        <v>-0.341000000000001</v>
      </c>
      <c r="J8" s="62" t="n">
        <f aca="false">[14]04YTD!O$65</f>
        <v>117.783</v>
      </c>
      <c r="K8" s="62" t="n">
        <f aca="false">[14]04YTD!P$65</f>
        <v>83.777</v>
      </c>
      <c r="L8" s="62" t="n">
        <f aca="false">[14]04YTD!Q$65</f>
        <v>-10.918</v>
      </c>
      <c r="M8" s="62" t="n">
        <f aca="false">[14]04YTD!R$65</f>
        <v>0</v>
      </c>
      <c r="N8" s="62" t="n">
        <f aca="false">M8+L8</f>
        <v>-10.918</v>
      </c>
      <c r="O8" s="62" t="n">
        <f aca="false">[14]04YTD!$U$65</f>
        <v>3885.797</v>
      </c>
      <c r="P8" s="62" t="n">
        <f aca="false">[14]04YTD!V$65</f>
        <v>0</v>
      </c>
      <c r="R8" s="62" t="n">
        <f aca="false">[15]APR_YTD!$H8</f>
        <v>-808.021</v>
      </c>
    </row>
    <row r="9" customFormat="false" ht="12.75" hidden="false" customHeight="true" outlineLevel="4" collapsed="false">
      <c r="A9" s="57" t="s">
        <v>41</v>
      </c>
      <c r="B9" s="63" t="n">
        <f aca="false">D9+R9</f>
        <v>9365.806</v>
      </c>
      <c r="C9" s="58"/>
      <c r="D9" s="64" t="n">
        <f aca="false">SUM(E9:M9)+O9+P9</f>
        <v>9365.806</v>
      </c>
      <c r="E9" s="64" t="n">
        <f aca="false">[14]04YTD!J$72*-1</f>
        <v>-4838.658</v>
      </c>
      <c r="F9" s="64" t="n">
        <f aca="false">[14]04YTD!K$72*-1</f>
        <v>223.82</v>
      </c>
      <c r="G9" s="64" t="n">
        <f aca="false">[14]04YTD!L$72*-1</f>
        <v>-0</v>
      </c>
      <c r="H9" s="64" t="n">
        <f aca="false">[14]04YTD!M$72*-1</f>
        <v>1170.626</v>
      </c>
      <c r="I9" s="64" t="n">
        <f aca="false">[14]04YTD!N$72*-1</f>
        <v>-0</v>
      </c>
      <c r="J9" s="64" t="n">
        <f aca="false">[14]04YTD!O$72*-1</f>
        <v>108.468</v>
      </c>
      <c r="K9" s="64" t="n">
        <f aca="false">[14]04YTD!P$72*-1</f>
        <v>-0</v>
      </c>
      <c r="L9" s="64" t="n">
        <f aca="false">[14]04YTD!Q$72*-1</f>
        <v>-0</v>
      </c>
      <c r="M9" s="64" t="n">
        <f aca="false">[14]04YTD!R$72*-1</f>
        <v>-0</v>
      </c>
      <c r="N9" s="64" t="n">
        <f aca="false">M9+L9</f>
        <v>-0</v>
      </c>
      <c r="O9" s="64" t="n">
        <f aca="false">[14]04YTD!U$72*-1</f>
        <v>12701.55</v>
      </c>
      <c r="P9" s="64" t="n">
        <f aca="false">[14]04YTD!V$72*-1</f>
        <v>-0</v>
      </c>
      <c r="R9" s="64" t="n">
        <f aca="false">[14]04YTD!X$72*-1</f>
        <v>-0</v>
      </c>
    </row>
    <row r="10" customFormat="false" ht="12.75" hidden="false" customHeight="true" outlineLevel="4" collapsed="false">
      <c r="A10" s="57" t="s">
        <v>42</v>
      </c>
      <c r="B10" s="65" t="n">
        <f aca="false">B8+B9</f>
        <v>107919.84</v>
      </c>
      <c r="C10" s="58"/>
      <c r="D10" s="65" t="n">
        <f aca="false">D8+D9</f>
        <v>108727.861</v>
      </c>
      <c r="E10" s="65" t="n">
        <f aca="false">E8+E9</f>
        <v>59203.494</v>
      </c>
      <c r="F10" s="65" t="n">
        <f aca="false">F8+F9</f>
        <v>18625.605</v>
      </c>
      <c r="G10" s="65" t="n">
        <f aca="false">G8+G9</f>
        <v>11728.146</v>
      </c>
      <c r="H10" s="65" t="n">
        <f aca="false">H8+H9</f>
        <v>2284.5</v>
      </c>
      <c r="I10" s="65" t="n">
        <f aca="false">I8+I9</f>
        <v>-0.341000000000001</v>
      </c>
      <c r="J10" s="65" t="n">
        <f aca="false">J8+J9</f>
        <v>226.251</v>
      </c>
      <c r="K10" s="65" t="n">
        <f aca="false">K8+K9</f>
        <v>83.777</v>
      </c>
      <c r="L10" s="65" t="n">
        <f aca="false">L8+L9</f>
        <v>-10.918</v>
      </c>
      <c r="M10" s="65" t="n">
        <f aca="false">M8+M9</f>
        <v>0</v>
      </c>
      <c r="N10" s="65" t="n">
        <f aca="false">N8</f>
        <v>-10.918</v>
      </c>
      <c r="O10" s="65" t="n">
        <f aca="false">O8+O9</f>
        <v>16587.347</v>
      </c>
      <c r="P10" s="65" t="n">
        <f aca="false">P8+P9</f>
        <v>0</v>
      </c>
      <c r="R10" s="65" t="n">
        <f aca="false">R8+R9</f>
        <v>-808.021</v>
      </c>
    </row>
    <row r="11" customFormat="false" ht="12.75" hidden="false" customHeight="true" outlineLevel="4" collapsed="false">
      <c r="A11" s="57"/>
      <c r="B11" s="65"/>
      <c r="C11" s="58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R11" s="65"/>
    </row>
    <row r="12" customFormat="false" ht="12.75" hidden="false" customHeight="true" outlineLevel="4" collapsed="false">
      <c r="A12" s="57" t="s">
        <v>43</v>
      </c>
      <c r="B12" s="58" t="n">
        <f aca="false">D12+R12</f>
        <v>21480.287</v>
      </c>
      <c r="C12" s="58"/>
      <c r="D12" s="62" t="n">
        <f aca="false">SUM(E12:M12)+O12+P12</f>
        <v>21480.287</v>
      </c>
      <c r="E12" s="62" t="n">
        <f aca="false">[14]04YTD!J$36</f>
        <v>15000.941</v>
      </c>
      <c r="F12" s="62" t="n">
        <f aca="false">[14]04YTD!K$36</f>
        <v>6457.035</v>
      </c>
      <c r="G12" s="62" t="n">
        <f aca="false">[14]04YTD!L$36</f>
        <v>0</v>
      </c>
      <c r="H12" s="62" t="n">
        <f aca="false">[14]04YTD!M$36</f>
        <v>0</v>
      </c>
      <c r="I12" s="62" t="n">
        <f aca="false">[14]04YTD!N$36</f>
        <v>0</v>
      </c>
      <c r="J12" s="62" t="n">
        <f aca="false">[14]04YTD!O$36</f>
        <v>0</v>
      </c>
      <c r="K12" s="62" t="n">
        <f aca="false">[14]04YTD!P$36</f>
        <v>0</v>
      </c>
      <c r="L12" s="62" t="n">
        <f aca="false">[14]04YTD!Q$36</f>
        <v>22.311</v>
      </c>
      <c r="M12" s="62" t="n">
        <f aca="false">[14]04YTD!R$36</f>
        <v>0</v>
      </c>
      <c r="N12" s="62" t="n">
        <f aca="false">M12+L12</f>
        <v>22.311</v>
      </c>
      <c r="O12" s="62" t="n">
        <f aca="false">[14]04YTD!U$36</f>
        <v>0</v>
      </c>
      <c r="P12" s="62" t="n">
        <f aca="false">[14]04YTD!V$36</f>
        <v>0</v>
      </c>
      <c r="R12" s="62" t="n">
        <f aca="false">[15]APR_YTD!$H11</f>
        <v>0</v>
      </c>
    </row>
    <row r="13" customFormat="false" ht="12.75" hidden="false" customHeight="true" outlineLevel="4" collapsed="false">
      <c r="A13" s="57" t="s">
        <v>45</v>
      </c>
      <c r="B13" s="58" t="n">
        <f aca="false">D13+R13</f>
        <v>7399.605</v>
      </c>
      <c r="C13" s="58"/>
      <c r="D13" s="62" t="n">
        <f aca="false">SUM(E13:M13)+O13+P13</f>
        <v>7379.353</v>
      </c>
      <c r="E13" s="62" t="n">
        <f aca="false">[14]04YTD!J$62</f>
        <v>6678.413</v>
      </c>
      <c r="F13" s="62" t="n">
        <f aca="false">[14]04YTD!K$62</f>
        <v>474.065</v>
      </c>
      <c r="G13" s="62" t="n">
        <f aca="false">[14]04YTD!L$62</f>
        <v>0</v>
      </c>
      <c r="H13" s="62" t="n">
        <f aca="false">[14]04YTD!M$62</f>
        <v>217.478</v>
      </c>
      <c r="I13" s="62" t="n">
        <f aca="false">[14]04YTD!N$62</f>
        <v>0</v>
      </c>
      <c r="J13" s="62" t="n">
        <f aca="false">[14]04YTD!O$62</f>
        <v>0</v>
      </c>
      <c r="K13" s="62" t="n">
        <f aca="false">[14]04YTD!P$62</f>
        <v>-2.428</v>
      </c>
      <c r="L13" s="62" t="n">
        <f aca="false">[14]04YTD!Q$62</f>
        <v>11.825</v>
      </c>
      <c r="M13" s="62" t="n">
        <f aca="false">[14]04YTD!R$62</f>
        <v>0</v>
      </c>
      <c r="N13" s="62" t="n">
        <f aca="false">M13+L13</f>
        <v>11.825</v>
      </c>
      <c r="O13" s="62" t="n">
        <f aca="false">[14]04YTD!U$62</f>
        <v>0</v>
      </c>
      <c r="P13" s="62" t="n">
        <f aca="false">[14]04YTD!V$62</f>
        <v>0</v>
      </c>
      <c r="R13" s="62" t="n">
        <f aca="false">[15]APR_YTD!$H12</f>
        <v>20.252</v>
      </c>
    </row>
    <row r="14" customFormat="false" ht="12.75" hidden="false" customHeight="true" outlineLevel="4" collapsed="false">
      <c r="A14" s="57" t="s">
        <v>47</v>
      </c>
      <c r="B14" s="58" t="n">
        <f aca="false">D14+R14</f>
        <v>6.617</v>
      </c>
      <c r="C14" s="58"/>
      <c r="D14" s="62" t="n">
        <f aca="false">SUM(E14:M14)+O14+P14</f>
        <v>6.617</v>
      </c>
      <c r="E14" s="62" t="n">
        <f aca="false">[14]04YTD!$J$46*-1</f>
        <v>6.615</v>
      </c>
      <c r="F14" s="62" t="n">
        <f aca="false">[14]04YTD!K$46*-1</f>
        <v>0.002</v>
      </c>
      <c r="G14" s="62" t="n">
        <f aca="false">[14]04YTD!L$46*-1</f>
        <v>-0</v>
      </c>
      <c r="H14" s="62" t="n">
        <f aca="false">[14]04YTD!M$46*-1</f>
        <v>-0</v>
      </c>
      <c r="I14" s="62" t="n">
        <f aca="false">[14]04YTD!N$46*-1</f>
        <v>-0</v>
      </c>
      <c r="J14" s="62" t="n">
        <f aca="false">[16]01YTD!O$46*-1</f>
        <v>-0</v>
      </c>
      <c r="K14" s="62" t="n">
        <f aca="false">[16]01YTD!P$46*-1</f>
        <v>-0</v>
      </c>
      <c r="L14" s="62" t="n">
        <f aca="false">[16]01YTD!Q$46*-1</f>
        <v>-0</v>
      </c>
      <c r="M14" s="62" t="n">
        <f aca="false">[16]01YTD!R$46*-1</f>
        <v>-0</v>
      </c>
      <c r="N14" s="62" t="n">
        <f aca="false">[16]01YTD!S$46*-1</f>
        <v>-0</v>
      </c>
      <c r="O14" s="62"/>
      <c r="P14" s="62"/>
      <c r="R14" s="62" t="n">
        <f aca="false">[15]APR_YTD!$H14</f>
        <v>0</v>
      </c>
    </row>
    <row r="15" customFormat="false" ht="12.75" hidden="false" customHeight="true" outlineLevel="4" collapsed="false">
      <c r="A15" s="57" t="s">
        <v>48</v>
      </c>
      <c r="B15" s="58" t="n">
        <f aca="false">D15+R15</f>
        <v>0</v>
      </c>
      <c r="C15" s="58"/>
      <c r="D15" s="62" t="n">
        <f aca="false">SUM(E15:M15)+O15+P15</f>
        <v>0</v>
      </c>
      <c r="E15" s="62"/>
      <c r="F15" s="62"/>
      <c r="G15" s="62"/>
      <c r="H15" s="62"/>
      <c r="I15" s="62"/>
      <c r="J15" s="62"/>
      <c r="K15" s="62"/>
      <c r="L15" s="62"/>
      <c r="M15" s="62"/>
      <c r="N15" s="62" t="n">
        <f aca="false">M15+L15</f>
        <v>0</v>
      </c>
      <c r="O15" s="62"/>
      <c r="P15" s="62"/>
      <c r="R15" s="62"/>
    </row>
    <row r="16" customFormat="false" ht="12.75" hidden="false" customHeight="true" outlineLevel="4" collapsed="false">
      <c r="A16" s="57" t="s">
        <v>51</v>
      </c>
      <c r="B16" s="58" t="n">
        <f aca="false">D16+R16</f>
        <v>-13558.802</v>
      </c>
      <c r="C16" s="58"/>
      <c r="D16" s="62" t="n">
        <f aca="false">SUM(E16:M16)+O16+P16</f>
        <v>-15158.621</v>
      </c>
      <c r="E16" s="62" t="n">
        <f aca="false">[14]04YTD!J$43*-1</f>
        <v>-1156.876</v>
      </c>
      <c r="F16" s="62" t="n">
        <f aca="false">[14]04YTD!K$43*-1</f>
        <v>-0</v>
      </c>
      <c r="G16" s="62" t="n">
        <f aca="false">[14]04YTD!L$43*-1</f>
        <v>-11728.146</v>
      </c>
      <c r="H16" s="62" t="n">
        <f aca="false">[14]04YTD!M$43*-1</f>
        <v>-2273.599</v>
      </c>
      <c r="I16" s="62" t="n">
        <f aca="false">[14]04YTD!N$43*-1</f>
        <v>-0</v>
      </c>
      <c r="J16" s="62" t="n">
        <f aca="false">[16]01YTD!O$43*-1</f>
        <v>-0</v>
      </c>
      <c r="K16" s="62" t="n">
        <f aca="false">[16]01YTD!P$43*-1</f>
        <v>-0</v>
      </c>
      <c r="L16" s="62" t="n">
        <f aca="false">[16]01YTD!Q$43*-1</f>
        <v>-0</v>
      </c>
      <c r="M16" s="62" t="n">
        <f aca="false">[16]01YTD!R$43*-1</f>
        <v>-0</v>
      </c>
      <c r="N16" s="62" t="n">
        <f aca="false">M16+L16</f>
        <v>-0</v>
      </c>
      <c r="O16" s="62" t="n">
        <f aca="false">[14]04YTD!U$43*-1</f>
        <v>-0</v>
      </c>
      <c r="P16" s="62" t="n">
        <f aca="false">[14]04YTD!V$43*-1</f>
        <v>-0</v>
      </c>
      <c r="R16" s="62" t="n">
        <f aca="false">[15]APR_YTD!$H15</f>
        <v>1599.819</v>
      </c>
    </row>
    <row r="17" customFormat="false" ht="12.75" hidden="false" customHeight="true" outlineLevel="4" collapsed="false">
      <c r="A17" s="57" t="s">
        <v>52</v>
      </c>
      <c r="B17" s="58" t="n">
        <f aca="false">D17+R17</f>
        <v>3315</v>
      </c>
      <c r="C17" s="58"/>
      <c r="D17" s="62" t="n">
        <f aca="false">SUM(E17:M17)+O17+P17</f>
        <v>1649</v>
      </c>
      <c r="E17" s="75" t="n">
        <v>833</v>
      </c>
      <c r="F17" s="75"/>
      <c r="G17" s="75"/>
      <c r="H17" s="75" t="n">
        <v>816</v>
      </c>
      <c r="I17" s="75"/>
      <c r="J17" s="75"/>
      <c r="K17" s="75"/>
      <c r="L17" s="75"/>
      <c r="M17" s="75"/>
      <c r="N17" s="62" t="n">
        <f aca="false">M17+L17</f>
        <v>0</v>
      </c>
      <c r="O17" s="75"/>
      <c r="P17" s="75"/>
      <c r="R17" s="62" t="n">
        <f aca="false">[15]APR_YTD!$H16</f>
        <v>1666</v>
      </c>
    </row>
    <row r="18" customFormat="false" ht="12.75" hidden="false" customHeight="true" outlineLevel="4" collapsed="false">
      <c r="A18" s="57" t="s">
        <v>53</v>
      </c>
      <c r="B18" s="63" t="n">
        <f aca="false">D18+R18</f>
        <v>-6664</v>
      </c>
      <c r="C18" s="58"/>
      <c r="D18" s="62" t="n">
        <f aca="false">SUM(E18:M18)+O18+P18</f>
        <v>-6821</v>
      </c>
      <c r="E18" s="64" t="n">
        <f aca="false">-3214-4913-3</f>
        <v>-8130</v>
      </c>
      <c r="F18" s="64" t="n">
        <f aca="false">430+1850+1780</f>
        <v>4060</v>
      </c>
      <c r="G18" s="64" t="n">
        <v>0</v>
      </c>
      <c r="H18" s="64"/>
      <c r="I18" s="64"/>
      <c r="J18" s="64" t="n">
        <v>4</v>
      </c>
      <c r="K18" s="64" t="n">
        <v>-1</v>
      </c>
      <c r="L18" s="64" t="n">
        <v>1137</v>
      </c>
      <c r="M18" s="64"/>
      <c r="N18" s="62" t="n">
        <f aca="false">M18+L18</f>
        <v>1137</v>
      </c>
      <c r="O18" s="64" t="n">
        <v>-3852</v>
      </c>
      <c r="P18" s="64" t="n">
        <v>-39</v>
      </c>
      <c r="R18" s="62" t="n">
        <f aca="false">[15]APR_YTD!$H17</f>
        <v>157</v>
      </c>
    </row>
    <row r="19" customFormat="false" ht="12.75" hidden="false" customHeight="true" outlineLevel="4" collapsed="false">
      <c r="A19" s="57" t="s">
        <v>54</v>
      </c>
      <c r="B19" s="66" t="n">
        <f aca="false">SUM(B10:B18)</f>
        <v>119898.547</v>
      </c>
      <c r="C19" s="58"/>
      <c r="D19" s="66" t="n">
        <f aca="false">SUM(D10:D18)</f>
        <v>117263.497</v>
      </c>
      <c r="E19" s="66" t="n">
        <f aca="false">SUM(E10:E18)</f>
        <v>72435.587</v>
      </c>
      <c r="F19" s="66" t="n">
        <f aca="false">SUM(F10:F18)</f>
        <v>29616.707</v>
      </c>
      <c r="G19" s="66" t="n">
        <f aca="false">SUM(G10:G18)</f>
        <v>0</v>
      </c>
      <c r="H19" s="66" t="n">
        <f aca="false">SUM(H10:H18)</f>
        <v>1044.379</v>
      </c>
      <c r="I19" s="66" t="n">
        <f aca="false">SUM(I10:I18)</f>
        <v>-0.341000000000001</v>
      </c>
      <c r="J19" s="66" t="n">
        <f aca="false">SUM(J10:J18)</f>
        <v>230.251</v>
      </c>
      <c r="K19" s="66" t="n">
        <f aca="false">SUM(K10:K18)</f>
        <v>80.349</v>
      </c>
      <c r="L19" s="66" t="n">
        <f aca="false">SUM(L10:L18)</f>
        <v>1160.218</v>
      </c>
      <c r="M19" s="66" t="n">
        <f aca="false">SUM(M10:M18)</f>
        <v>0</v>
      </c>
      <c r="N19" s="66" t="n">
        <f aca="false">SUM(N10:N18)</f>
        <v>1160.218</v>
      </c>
      <c r="O19" s="66" t="n">
        <f aca="false">SUM(O10:O18)</f>
        <v>12735.347</v>
      </c>
      <c r="P19" s="66" t="n">
        <f aca="false">SUM(P10:P18)</f>
        <v>-39</v>
      </c>
      <c r="R19" s="66" t="n">
        <f aca="false">SUM(R10:R18)</f>
        <v>2635.05</v>
      </c>
    </row>
    <row r="20" customFormat="false" ht="12.75" hidden="false" customHeight="true" outlineLevel="4" collapsed="false">
      <c r="A20" s="57"/>
      <c r="B20" s="42"/>
      <c r="C20" s="58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R20" s="42"/>
    </row>
    <row r="21" customFormat="false" ht="12.75" hidden="false" customHeight="true" outlineLevel="4" collapsed="false">
      <c r="A21" s="57" t="s">
        <v>103</v>
      </c>
      <c r="B21" s="58"/>
      <c r="C21" s="58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R21" s="42"/>
    </row>
    <row r="22" customFormat="false" ht="12.75" hidden="false" customHeight="true" outlineLevel="4" collapsed="false">
      <c r="A22" s="57" t="s">
        <v>56</v>
      </c>
      <c r="B22" s="58" t="n">
        <f aca="false">D22+R22</f>
        <v>29553</v>
      </c>
      <c r="C22" s="58"/>
      <c r="D22" s="62" t="n">
        <f aca="false">SUM(E22:M22)+O22+P22</f>
        <v>26625</v>
      </c>
      <c r="E22" s="62" t="n">
        <v>30958</v>
      </c>
      <c r="F22" s="62" t="n">
        <v>-466</v>
      </c>
      <c r="G22" s="62"/>
      <c r="H22" s="62" t="n">
        <v>-102</v>
      </c>
      <c r="I22" s="62" t="n">
        <v>10</v>
      </c>
      <c r="J22" s="62" t="n">
        <v>-644</v>
      </c>
      <c r="K22" s="62" t="n">
        <v>250</v>
      </c>
      <c r="L22" s="62" t="n">
        <v>26</v>
      </c>
      <c r="M22" s="62"/>
      <c r="N22" s="62"/>
      <c r="O22" s="62" t="n">
        <v>-3384</v>
      </c>
      <c r="P22" s="62" t="n">
        <v>-23</v>
      </c>
      <c r="R22" s="62" t="n">
        <f aca="false">[15]APR_YTD!$H20</f>
        <v>2928</v>
      </c>
    </row>
    <row r="23" customFormat="false" ht="12.75" hidden="false" customHeight="true" outlineLevel="4" collapsed="false">
      <c r="A23" s="57" t="s">
        <v>58</v>
      </c>
      <c r="B23" s="58" t="n">
        <f aca="false">D23+R23</f>
        <v>521</v>
      </c>
      <c r="C23" s="58"/>
      <c r="D23" s="62" t="n">
        <f aca="false">SUM(E23:M23)+O23+P23</f>
        <v>521</v>
      </c>
      <c r="E23" s="62" t="n">
        <v>181</v>
      </c>
      <c r="F23" s="62" t="n">
        <v>-4884</v>
      </c>
      <c r="G23" s="62"/>
      <c r="H23" s="62"/>
      <c r="I23" s="62" t="n">
        <v>-10</v>
      </c>
      <c r="J23" s="62" t="n">
        <v>1558</v>
      </c>
      <c r="K23" s="62" t="n">
        <v>-601</v>
      </c>
      <c r="L23" s="62" t="n">
        <v>28</v>
      </c>
      <c r="M23" s="62"/>
      <c r="N23" s="62" t="n">
        <f aca="false">M23+L23</f>
        <v>28</v>
      </c>
      <c r="O23" s="62" t="n">
        <v>4065</v>
      </c>
      <c r="P23" s="62" t="n">
        <v>184</v>
      </c>
      <c r="R23" s="62" t="n">
        <f aca="false">[15]APR_YTD!$H21</f>
        <v>0</v>
      </c>
    </row>
    <row r="24" customFormat="false" ht="12.75" hidden="false" customHeight="true" outlineLevel="4" collapsed="false">
      <c r="A24" s="57" t="s">
        <v>60</v>
      </c>
      <c r="B24" s="58" t="n">
        <f aca="false">D24+R24</f>
        <v>313</v>
      </c>
      <c r="C24" s="58"/>
      <c r="D24" s="62" t="n">
        <f aca="false">SUM(E24:M24)+O24+P24</f>
        <v>313</v>
      </c>
      <c r="E24" s="62" t="n">
        <v>25</v>
      </c>
      <c r="F24" s="62" t="n">
        <v>115</v>
      </c>
      <c r="G24" s="62"/>
      <c r="H24" s="62"/>
      <c r="I24" s="62"/>
      <c r="J24" s="62"/>
      <c r="K24" s="62"/>
      <c r="L24" s="62" t="n">
        <v>173</v>
      </c>
      <c r="M24" s="62"/>
      <c r="N24" s="62" t="n">
        <f aca="false">M24+L24</f>
        <v>173</v>
      </c>
      <c r="O24" s="62"/>
      <c r="P24" s="62"/>
      <c r="R24" s="62" t="n">
        <f aca="false">[15]APR_YTD!$H22</f>
        <v>0</v>
      </c>
    </row>
    <row r="25" customFormat="false" ht="12.75" hidden="false" customHeight="true" outlineLevel="4" collapsed="false">
      <c r="A25" s="57" t="s">
        <v>61</v>
      </c>
      <c r="B25" s="58" t="n">
        <f aca="false">D25+R25</f>
        <v>3</v>
      </c>
      <c r="C25" s="58"/>
      <c r="D25" s="62" t="n">
        <f aca="false">SUM(E25:M25)+O25+P25</f>
        <v>3</v>
      </c>
      <c r="E25" s="62" t="n">
        <v>0</v>
      </c>
      <c r="F25" s="62" t="n">
        <v>3</v>
      </c>
      <c r="G25" s="62"/>
      <c r="H25" s="62"/>
      <c r="I25" s="62"/>
      <c r="J25" s="62"/>
      <c r="K25" s="62"/>
      <c r="L25" s="62"/>
      <c r="M25" s="62"/>
      <c r="N25" s="62" t="n">
        <f aca="false">M25+L25</f>
        <v>0</v>
      </c>
      <c r="O25" s="62"/>
      <c r="P25" s="62"/>
      <c r="R25" s="62" t="n">
        <f aca="false">[15]APR_YTD!$H23</f>
        <v>0</v>
      </c>
    </row>
    <row r="26" customFormat="false" ht="12.75" hidden="false" customHeight="true" outlineLevel="4" collapsed="false">
      <c r="A26" s="57" t="s">
        <v>62</v>
      </c>
      <c r="B26" s="58" t="n">
        <f aca="false">D26+R26</f>
        <v>-18755</v>
      </c>
      <c r="C26" s="58"/>
      <c r="D26" s="62" t="n">
        <f aca="false">SUM(E26:M26)+O26+P26</f>
        <v>-18754</v>
      </c>
      <c r="E26" s="62" t="n">
        <v>-12883</v>
      </c>
      <c r="F26" s="62" t="n">
        <v>1035</v>
      </c>
      <c r="G26" s="62"/>
      <c r="H26" s="62" t="n">
        <v>-92</v>
      </c>
      <c r="I26" s="62"/>
      <c r="J26" s="62" t="n">
        <v>-1138</v>
      </c>
      <c r="K26" s="62" t="n">
        <v>-2</v>
      </c>
      <c r="L26" s="62" t="n">
        <v>-110</v>
      </c>
      <c r="M26" s="62"/>
      <c r="N26" s="62" t="n">
        <f aca="false">M26+L26</f>
        <v>-110</v>
      </c>
      <c r="O26" s="62" t="n">
        <v>-5476</v>
      </c>
      <c r="P26" s="62" t="n">
        <v>-88</v>
      </c>
      <c r="R26" s="62" t="n">
        <f aca="false">[15]APR_YTD!$H25</f>
        <v>-1</v>
      </c>
    </row>
    <row r="27" customFormat="false" ht="12.75" hidden="false" customHeight="true" outlineLevel="4" collapsed="false">
      <c r="A27" s="57" t="s">
        <v>104</v>
      </c>
      <c r="B27" s="58" t="n">
        <f aca="false">D27+R27</f>
        <v>-3725</v>
      </c>
      <c r="C27" s="58"/>
      <c r="D27" s="62" t="n">
        <f aca="false">SUM(E27:M27)+O27+P27</f>
        <v>-3725</v>
      </c>
      <c r="E27" s="62" t="n">
        <v>-2906</v>
      </c>
      <c r="F27" s="62" t="n">
        <v>-819</v>
      </c>
      <c r="G27" s="62"/>
      <c r="H27" s="62"/>
      <c r="I27" s="62"/>
      <c r="J27" s="62"/>
      <c r="K27" s="62"/>
      <c r="L27" s="62"/>
      <c r="M27" s="62"/>
      <c r="N27" s="62" t="n">
        <f aca="false">M27+L27</f>
        <v>0</v>
      </c>
      <c r="O27" s="62"/>
      <c r="P27" s="62"/>
      <c r="R27" s="62" t="n">
        <f aca="false">[15]APR_YTD!$H26</f>
        <v>0</v>
      </c>
    </row>
    <row r="28" customFormat="false" ht="12.75" hidden="false" customHeight="true" outlineLevel="4" collapsed="false">
      <c r="A28" s="57" t="s">
        <v>64</v>
      </c>
      <c r="B28" s="58" t="n">
        <f aca="false">D28+R28</f>
        <v>-367</v>
      </c>
      <c r="C28" s="58"/>
      <c r="D28" s="62" t="n">
        <f aca="false">SUM(E28:M28)+O28+P28</f>
        <v>-458</v>
      </c>
      <c r="E28" s="62" t="n">
        <v>4488</v>
      </c>
      <c r="F28" s="62" t="n">
        <v>-946</v>
      </c>
      <c r="G28" s="62"/>
      <c r="H28" s="62"/>
      <c r="I28" s="62"/>
      <c r="J28" s="62" t="n">
        <v>-2</v>
      </c>
      <c r="K28" s="62" t="n">
        <v>-1</v>
      </c>
      <c r="L28" s="62" t="n">
        <v>-1262</v>
      </c>
      <c r="M28" s="62" t="n">
        <v>-2735</v>
      </c>
      <c r="N28" s="62" t="n">
        <f aca="false">M28+L28</f>
        <v>-3997</v>
      </c>
      <c r="O28" s="62" t="n">
        <v>0</v>
      </c>
      <c r="P28" s="62"/>
      <c r="R28" s="62" t="n">
        <f aca="false">[15]APR_YTD!$H27</f>
        <v>91</v>
      </c>
    </row>
    <row r="29" customFormat="false" ht="12.75" hidden="false" customHeight="true" outlineLevel="4" collapsed="false">
      <c r="A29" s="57" t="s">
        <v>65</v>
      </c>
      <c r="B29" s="58" t="n">
        <f aca="false">D29+R29</f>
        <v>5192</v>
      </c>
      <c r="C29" s="58"/>
      <c r="D29" s="62" t="n">
        <f aca="false">SUM(E29:M29)+O29+P29</f>
        <v>5192</v>
      </c>
      <c r="E29" s="75" t="n">
        <v>6438</v>
      </c>
      <c r="F29" s="75" t="n">
        <v>-1246</v>
      </c>
      <c r="G29" s="75"/>
      <c r="H29" s="75"/>
      <c r="I29" s="75"/>
      <c r="J29" s="75"/>
      <c r="K29" s="75"/>
      <c r="L29" s="75"/>
      <c r="M29" s="75"/>
      <c r="N29" s="62" t="n">
        <f aca="false">M29+L29</f>
        <v>0</v>
      </c>
      <c r="O29" s="75"/>
      <c r="P29" s="75"/>
      <c r="R29" s="62" t="n">
        <f aca="false">[15]APR_YTD!$H28</f>
        <v>0</v>
      </c>
    </row>
    <row r="30" customFormat="false" ht="12.75" hidden="false" customHeight="true" outlineLevel="4" collapsed="false">
      <c r="A30" s="57" t="s">
        <v>66</v>
      </c>
      <c r="B30" s="63" t="n">
        <f aca="false">D30+R30</f>
        <v>-10661</v>
      </c>
      <c r="C30" s="58"/>
      <c r="D30" s="62" t="n">
        <f aca="false">SUM(E30:M30)+O30+P30</f>
        <v>-10661</v>
      </c>
      <c r="E30" s="64" t="n">
        <v>-7433</v>
      </c>
      <c r="F30" s="64" t="n">
        <v>-234</v>
      </c>
      <c r="G30" s="64"/>
      <c r="H30" s="64" t="n">
        <v>-710</v>
      </c>
      <c r="I30" s="64"/>
      <c r="J30" s="64"/>
      <c r="K30" s="64" t="n">
        <v>-1</v>
      </c>
      <c r="L30" s="64" t="n">
        <v>3</v>
      </c>
      <c r="M30" s="64"/>
      <c r="N30" s="64" t="n">
        <f aca="false">M30+L30</f>
        <v>3</v>
      </c>
      <c r="O30" s="64" t="n">
        <v>-2286</v>
      </c>
      <c r="P30" s="64"/>
      <c r="R30" s="62" t="n">
        <f aca="false">[15]APR_YTD!$H28</f>
        <v>0</v>
      </c>
    </row>
    <row r="31" customFormat="false" ht="12.75" hidden="false" customHeight="true" outlineLevel="4" collapsed="false">
      <c r="A31" s="57" t="s">
        <v>67</v>
      </c>
      <c r="B31" s="67" t="n">
        <f aca="false">SUM(B21:B30)</f>
        <v>2074</v>
      </c>
      <c r="C31" s="68"/>
      <c r="D31" s="67" t="n">
        <f aca="false">SUM(D21:D30)</f>
        <v>-944</v>
      </c>
      <c r="E31" s="67" t="n">
        <f aca="false">SUM(E21:E30)</f>
        <v>18868</v>
      </c>
      <c r="F31" s="67" t="n">
        <f aca="false">SUM(F21:F30)</f>
        <v>-7442</v>
      </c>
      <c r="G31" s="67" t="n">
        <f aca="false">SUM(G21:G30)</f>
        <v>0</v>
      </c>
      <c r="H31" s="67" t="n">
        <f aca="false">SUM(H21:H30)</f>
        <v>-904</v>
      </c>
      <c r="I31" s="67" t="n">
        <f aca="false">SUM(I21:I30)</f>
        <v>0</v>
      </c>
      <c r="J31" s="67" t="n">
        <f aca="false">SUM(J21:J30)</f>
        <v>-226</v>
      </c>
      <c r="K31" s="67" t="n">
        <f aca="false">SUM(K21:K30)</f>
        <v>-355</v>
      </c>
      <c r="L31" s="67" t="n">
        <f aca="false">SUM(L21:L30)</f>
        <v>-1142</v>
      </c>
      <c r="M31" s="67" t="n">
        <f aca="false">SUM(M21:M30)</f>
        <v>-2735</v>
      </c>
      <c r="N31" s="67" t="n">
        <f aca="false">SUM(N21:N30)</f>
        <v>-3903</v>
      </c>
      <c r="O31" s="67" t="n">
        <f aca="false">SUM(O21:O30)</f>
        <v>-7081</v>
      </c>
      <c r="P31" s="67" t="n">
        <f aca="false">SUM(P21:P30)</f>
        <v>73</v>
      </c>
      <c r="R31" s="67" t="n">
        <f aca="false">SUM(R21:R30)</f>
        <v>3018</v>
      </c>
    </row>
    <row r="32" customFormat="false" ht="12.75" hidden="false" customHeight="true" outlineLevel="4" collapsed="false">
      <c r="A32" s="57"/>
      <c r="B32" s="69"/>
      <c r="C32" s="68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42"/>
      <c r="R32" s="69"/>
    </row>
    <row r="33" customFormat="false" ht="12.75" hidden="false" customHeight="true" outlineLevel="3" collapsed="false">
      <c r="A33" s="57" t="s">
        <v>68</v>
      </c>
      <c r="B33" s="70" t="n">
        <f aca="false">B19+B31</f>
        <v>121972.547</v>
      </c>
      <c r="C33" s="58"/>
      <c r="D33" s="70" t="n">
        <f aca="false">D19+D31</f>
        <v>116319.497</v>
      </c>
      <c r="E33" s="70" t="n">
        <f aca="false">E19+E31</f>
        <v>91303.587</v>
      </c>
      <c r="F33" s="70" t="n">
        <f aca="false">F19+F31</f>
        <v>22174.707</v>
      </c>
      <c r="G33" s="70" t="n">
        <f aca="false">G19+G31</f>
        <v>0</v>
      </c>
      <c r="H33" s="70" t="n">
        <f aca="false">H19+H31</f>
        <v>140.379</v>
      </c>
      <c r="I33" s="70" t="n">
        <f aca="false">I19+I31</f>
        <v>-0.341000000000001</v>
      </c>
      <c r="J33" s="70" t="n">
        <f aca="false">J19+J31</f>
        <v>4.25099999999964</v>
      </c>
      <c r="K33" s="70" t="n">
        <f aca="false">K19+K31</f>
        <v>-274.651</v>
      </c>
      <c r="L33" s="70" t="n">
        <f aca="false">L19+L31</f>
        <v>18.2180000000001</v>
      </c>
      <c r="M33" s="70" t="n">
        <f aca="false">M19+M31</f>
        <v>-2735</v>
      </c>
      <c r="N33" s="70" t="n">
        <f aca="false">N19+N31</f>
        <v>-2742.782</v>
      </c>
      <c r="O33" s="70" t="n">
        <f aca="false">O19+O31</f>
        <v>5654.347</v>
      </c>
      <c r="P33" s="70" t="n">
        <f aca="false">P19+P31</f>
        <v>34</v>
      </c>
      <c r="R33" s="70" t="n">
        <f aca="false">R19+R31</f>
        <v>5653.05</v>
      </c>
    </row>
    <row r="34" customFormat="false" ht="12.75" hidden="false" customHeight="true" outlineLevel="3" collapsed="false">
      <c r="B34" s="58"/>
      <c r="C34" s="58"/>
    </row>
    <row r="35" customFormat="false" ht="12.75" hidden="false" customHeight="true" outlineLevel="3" collapsed="false">
      <c r="A35" s="61" t="s">
        <v>69</v>
      </c>
      <c r="B35" s="58"/>
      <c r="C35" s="58"/>
    </row>
    <row r="36" customFormat="false" ht="12.75" hidden="false" customHeight="true" outlineLevel="4" collapsed="false">
      <c r="A36" s="57" t="s">
        <v>70</v>
      </c>
      <c r="B36" s="58" t="n">
        <f aca="false">D36+R36</f>
        <v>7293</v>
      </c>
      <c r="C36" s="58"/>
      <c r="D36" s="62" t="n">
        <f aca="false">SUM(E36:M36)+O36+P36</f>
        <v>7293</v>
      </c>
      <c r="E36" s="76" t="n">
        <v>7293</v>
      </c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R36" s="76"/>
    </row>
    <row r="37" customFormat="false" ht="12.75" hidden="false" customHeight="true" outlineLevel="4" collapsed="false">
      <c r="A37" s="57" t="s">
        <v>71</v>
      </c>
      <c r="B37" s="58" t="n">
        <f aca="false">D37+R37</f>
        <v>-16589</v>
      </c>
      <c r="C37" s="58"/>
      <c r="D37" s="62" t="n">
        <f aca="false">SUM(E37:M37)+O37+P37</f>
        <v>-16589</v>
      </c>
      <c r="E37" s="76" t="n">
        <v>-9137</v>
      </c>
      <c r="F37" s="76" t="n">
        <v>-7452</v>
      </c>
      <c r="G37" s="76"/>
      <c r="H37" s="76"/>
      <c r="I37" s="76"/>
      <c r="J37" s="76"/>
      <c r="K37" s="76"/>
      <c r="L37" s="76"/>
      <c r="M37" s="76"/>
      <c r="N37" s="76"/>
      <c r="O37" s="76"/>
      <c r="P37" s="76"/>
      <c r="R37" s="76"/>
    </row>
    <row r="38" customFormat="false" ht="12.75" hidden="false" customHeight="true" outlineLevel="4" collapsed="false">
      <c r="A38" s="57" t="s">
        <v>105</v>
      </c>
      <c r="B38" s="58" t="n">
        <f aca="false">D38+R38</f>
        <v>8761</v>
      </c>
      <c r="C38" s="58"/>
      <c r="D38" s="62" t="n">
        <f aca="false">SUM(E38:M38)+O38+P38</f>
        <v>8761</v>
      </c>
      <c r="E38" s="76" t="n">
        <f aca="false">8699-145</f>
        <v>8554</v>
      </c>
      <c r="F38" s="76" t="n">
        <f aca="false">246-39</f>
        <v>207</v>
      </c>
      <c r="G38" s="76"/>
      <c r="H38" s="76"/>
      <c r="I38" s="76"/>
      <c r="J38" s="76"/>
      <c r="K38" s="76"/>
      <c r="L38" s="76"/>
      <c r="M38" s="76"/>
      <c r="N38" s="76"/>
      <c r="O38" s="76"/>
      <c r="P38" s="76"/>
      <c r="R38" s="76"/>
    </row>
    <row r="39" customFormat="false" ht="12.75" hidden="false" customHeight="true" outlineLevel="4" collapsed="false">
      <c r="A39" s="57" t="s">
        <v>106</v>
      </c>
      <c r="B39" s="58" t="n">
        <f aca="false">D39+R39</f>
        <v>16230</v>
      </c>
      <c r="C39" s="58"/>
      <c r="D39" s="62" t="n">
        <f aca="false">SUM(E39:P39)</f>
        <v>0</v>
      </c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R39" s="76" t="n">
        <f aca="false">[15]APR_YTD!$H$38</f>
        <v>16230</v>
      </c>
    </row>
    <row r="40" customFormat="false" ht="12.75" hidden="false" customHeight="true" outlineLevel="4" collapsed="false">
      <c r="A40" s="57" t="s">
        <v>76</v>
      </c>
      <c r="B40" s="58" t="n">
        <f aca="false">D40+R40</f>
        <v>0</v>
      </c>
      <c r="C40" s="58"/>
      <c r="D40" s="62" t="n">
        <f aca="false">SUM(E40:P40)</f>
        <v>0</v>
      </c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R40" s="76"/>
    </row>
    <row r="41" customFormat="false" ht="12.75" hidden="false" customHeight="true" outlineLevel="4" collapsed="false">
      <c r="A41" s="57" t="s">
        <v>77</v>
      </c>
      <c r="B41" s="63" t="n">
        <f aca="false">D41+R41</f>
        <v>-1839</v>
      </c>
      <c r="C41" s="58"/>
      <c r="D41" s="64" t="n">
        <f aca="false">SUM(E41:M41)+O41+P41</f>
        <v>-1839</v>
      </c>
      <c r="E41" s="64" t="n">
        <v>-1839</v>
      </c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R41" s="64"/>
    </row>
    <row r="42" customFormat="false" ht="12.75" hidden="false" customHeight="true" outlineLevel="3" collapsed="false">
      <c r="A42" s="57" t="s">
        <v>78</v>
      </c>
      <c r="B42" s="70" t="n">
        <f aca="false">SUM(B36:B41)</f>
        <v>13856</v>
      </c>
      <c r="C42" s="71" t="n">
        <f aca="false">SUM(C36:C41)</f>
        <v>0</v>
      </c>
      <c r="D42" s="70" t="n">
        <f aca="false">SUM(D36:D41)</f>
        <v>-2374</v>
      </c>
      <c r="E42" s="70" t="n">
        <f aca="false">SUM(E36:E41)</f>
        <v>4871</v>
      </c>
      <c r="F42" s="70" t="n">
        <f aca="false">SUM(F36:F41)</f>
        <v>-7245</v>
      </c>
      <c r="G42" s="70" t="n">
        <f aca="false">SUM(G36:G41)</f>
        <v>0</v>
      </c>
      <c r="H42" s="70" t="n">
        <f aca="false">SUM(H36:H41)</f>
        <v>0</v>
      </c>
      <c r="I42" s="70" t="n">
        <f aca="false">SUM(I36:I41)</f>
        <v>0</v>
      </c>
      <c r="J42" s="70" t="n">
        <f aca="false">SUM(J36:J41)</f>
        <v>0</v>
      </c>
      <c r="K42" s="70" t="n">
        <f aca="false">SUM(K36:K41)</f>
        <v>0</v>
      </c>
      <c r="L42" s="70" t="n">
        <f aca="false">SUM(L36:L41)</f>
        <v>0</v>
      </c>
      <c r="M42" s="70" t="n">
        <f aca="false">SUM(M36:M41)</f>
        <v>0</v>
      </c>
      <c r="N42" s="70"/>
      <c r="O42" s="70" t="n">
        <f aca="false">SUM(O36:O41)</f>
        <v>0</v>
      </c>
      <c r="P42" s="70" t="n">
        <f aca="false">SUM(P36:P41)</f>
        <v>0</v>
      </c>
      <c r="R42" s="70" t="n">
        <f aca="false">SUM(R36:R41)</f>
        <v>16230</v>
      </c>
    </row>
    <row r="43" customFormat="false" ht="12.75" hidden="false" customHeight="true" outlineLevel="3" collapsed="false">
      <c r="B43" s="58"/>
      <c r="C43" s="58"/>
    </row>
    <row r="44" customFormat="false" ht="12.75" hidden="false" customHeight="true" outlineLevel="3" collapsed="false">
      <c r="A44" s="61" t="s">
        <v>79</v>
      </c>
      <c r="B44" s="58"/>
      <c r="C44" s="58"/>
    </row>
    <row r="45" customFormat="false" ht="12.75" hidden="false" customHeight="true" outlineLevel="4" collapsed="false">
      <c r="A45" s="57" t="s">
        <v>80</v>
      </c>
      <c r="B45" s="58" t="n">
        <f aca="false">D45+R45</f>
        <v>0</v>
      </c>
      <c r="C45" s="58"/>
      <c r="D45" s="62" t="n">
        <f aca="false">SUM(E45:P45)</f>
        <v>0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R45" s="62"/>
    </row>
    <row r="46" customFormat="false" ht="12.75" hidden="false" customHeight="true" outlineLevel="4" collapsed="false">
      <c r="A46" s="57" t="s">
        <v>81</v>
      </c>
      <c r="B46" s="58" t="n">
        <f aca="false">D46+R46</f>
        <v>150000</v>
      </c>
      <c r="C46" s="58"/>
      <c r="D46" s="62" t="n">
        <f aca="false">SUM(E46:M46)+O46+P46</f>
        <v>150000</v>
      </c>
      <c r="E46" s="62" t="n">
        <v>0</v>
      </c>
      <c r="F46" s="62" t="n">
        <v>150000</v>
      </c>
      <c r="G46" s="62"/>
      <c r="H46" s="62"/>
      <c r="I46" s="62"/>
      <c r="J46" s="62"/>
      <c r="K46" s="62"/>
      <c r="L46" s="62"/>
      <c r="M46" s="62"/>
      <c r="N46" s="62"/>
      <c r="O46" s="62"/>
      <c r="P46" s="62"/>
      <c r="R46" s="62"/>
    </row>
    <row r="47" customFormat="false" ht="12.75" hidden="false" customHeight="true" outlineLevel="4" collapsed="false">
      <c r="A47" s="57" t="s">
        <v>83</v>
      </c>
      <c r="B47" s="58" t="n">
        <f aca="false">D47+R47</f>
        <v>-100000</v>
      </c>
      <c r="C47" s="58"/>
      <c r="D47" s="62" t="n">
        <f aca="false">SUM(E47:P47)</f>
        <v>-100000</v>
      </c>
      <c r="E47" s="62"/>
      <c r="F47" s="62" t="n">
        <v>-100000</v>
      </c>
      <c r="G47" s="62"/>
      <c r="H47" s="62"/>
      <c r="I47" s="62"/>
      <c r="J47" s="62"/>
      <c r="K47" s="62"/>
      <c r="L47" s="62"/>
      <c r="M47" s="62"/>
      <c r="N47" s="62"/>
      <c r="O47" s="62"/>
      <c r="P47" s="62"/>
      <c r="R47" s="62"/>
    </row>
    <row r="48" customFormat="false" ht="12.75" hidden="false" customHeight="true" outlineLevel="4" collapsed="false">
      <c r="A48" s="57" t="s">
        <v>84</v>
      </c>
      <c r="B48" s="58" t="n">
        <f aca="false">D48+R48</f>
        <v>0</v>
      </c>
      <c r="C48" s="58"/>
      <c r="D48" s="62" t="n">
        <f aca="false">SUM(E48:M48)+O48+P48</f>
        <v>0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R48" s="62"/>
    </row>
    <row r="49" customFormat="false" ht="12.75" hidden="false" customHeight="true" outlineLevel="4" collapsed="false">
      <c r="A49" s="57" t="s">
        <v>107</v>
      </c>
      <c r="B49" s="58" t="n">
        <f aca="false">D49+R49</f>
        <v>0</v>
      </c>
      <c r="C49" s="58"/>
      <c r="D49" s="62" t="n">
        <f aca="false">SUM(E49:P49)</f>
        <v>0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R49" s="75"/>
    </row>
    <row r="50" customFormat="false" ht="12.75" hidden="false" customHeight="true" outlineLevel="3" collapsed="false">
      <c r="A50" s="57" t="s">
        <v>86</v>
      </c>
      <c r="B50" s="72" t="n">
        <f aca="false">SUM(B45:B49)</f>
        <v>50000</v>
      </c>
      <c r="C50" s="58"/>
      <c r="D50" s="72" t="n">
        <f aca="false">SUM(D45:D49)</f>
        <v>50000</v>
      </c>
      <c r="E50" s="72" t="n">
        <f aca="false">SUM(E45:E49)</f>
        <v>0</v>
      </c>
      <c r="F50" s="72" t="n">
        <f aca="false">SUM(F45:F49)</f>
        <v>50000</v>
      </c>
      <c r="G50" s="72" t="n">
        <f aca="false">SUM(G45:G49)</f>
        <v>0</v>
      </c>
      <c r="H50" s="72" t="n">
        <f aca="false">SUM(H45:H49)</f>
        <v>0</v>
      </c>
      <c r="I50" s="72" t="n">
        <f aca="false">SUM(I45:I49)</f>
        <v>0</v>
      </c>
      <c r="J50" s="72" t="n">
        <f aca="false">SUM(J45:J49)</f>
        <v>0</v>
      </c>
      <c r="K50" s="72" t="n">
        <f aca="false">SUM(K45:K49)</f>
        <v>0</v>
      </c>
      <c r="L50" s="72" t="n">
        <f aca="false">SUM(L45:L49)</f>
        <v>0</v>
      </c>
      <c r="M50" s="72" t="n">
        <f aca="false">SUM(M45:M49)</f>
        <v>0</v>
      </c>
      <c r="N50" s="72"/>
      <c r="O50" s="72" t="n">
        <f aca="false">SUM(O45:O49)</f>
        <v>0</v>
      </c>
      <c r="P50" s="72" t="n">
        <f aca="false">SUM(P45:P49)</f>
        <v>0</v>
      </c>
      <c r="R50" s="72" t="n">
        <f aca="false">SUM(R45:R49)</f>
        <v>0</v>
      </c>
    </row>
    <row r="51" customFormat="false" ht="12.75" hidden="false" customHeight="true" outlineLevel="3" collapsed="false">
      <c r="A51" s="57"/>
      <c r="B51" s="71"/>
      <c r="C51" s="58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R51" s="71"/>
    </row>
    <row r="52" customFormat="false" ht="12.75" hidden="false" customHeight="true" outlineLevel="2" collapsed="false">
      <c r="A52" s="57" t="s">
        <v>87</v>
      </c>
      <c r="B52" s="71" t="n">
        <f aca="false">B33+B42+B50</f>
        <v>185828.547</v>
      </c>
      <c r="C52" s="58"/>
      <c r="D52" s="71" t="n">
        <f aca="false">D33+D42+D50</f>
        <v>163945.497</v>
      </c>
      <c r="E52" s="71" t="n">
        <f aca="false">E33+E42+E50</f>
        <v>96174.587</v>
      </c>
      <c r="F52" s="71" t="n">
        <f aca="false">F33+F42+F50</f>
        <v>64929.707</v>
      </c>
      <c r="G52" s="71" t="n">
        <f aca="false">G33+G42+G50</f>
        <v>0</v>
      </c>
      <c r="H52" s="71" t="n">
        <f aca="false">H33+H42+H50</f>
        <v>140.379</v>
      </c>
      <c r="I52" s="71" t="n">
        <f aca="false">I33+I42+I50</f>
        <v>-0.341000000000001</v>
      </c>
      <c r="J52" s="71" t="n">
        <f aca="false">J33+J42+J50</f>
        <v>4.25099999999964</v>
      </c>
      <c r="K52" s="71" t="n">
        <f aca="false">K33+K42+K50</f>
        <v>-274.651</v>
      </c>
      <c r="L52" s="71" t="n">
        <f aca="false">L33+L42+L50</f>
        <v>18.2180000000001</v>
      </c>
      <c r="M52" s="71" t="n">
        <f aca="false">M33+M42+M50</f>
        <v>-2735</v>
      </c>
      <c r="N52" s="71" t="n">
        <f aca="false">M52+L52</f>
        <v>-2716.782</v>
      </c>
      <c r="O52" s="71" t="n">
        <f aca="false">O33+O42+O50</f>
        <v>5654.347</v>
      </c>
      <c r="P52" s="71" t="n">
        <f aca="false">P33+P42+P50</f>
        <v>34</v>
      </c>
      <c r="R52" s="71" t="n">
        <f aca="false">R33+R42+R50</f>
        <v>21883.05</v>
      </c>
    </row>
    <row r="53" customFormat="false" ht="12.75" hidden="false" customHeight="true" outlineLevel="2" collapsed="false">
      <c r="A53" s="57"/>
      <c r="B53" s="71"/>
      <c r="C53" s="58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R53" s="71"/>
    </row>
    <row r="54" customFormat="false" ht="12.75" hidden="false" customHeight="true" outlineLevel="2" collapsed="false">
      <c r="A54" s="57" t="s">
        <v>88</v>
      </c>
      <c r="B54" s="63" t="n">
        <f aca="false">D54+R54</f>
        <v>-3475</v>
      </c>
      <c r="C54" s="58"/>
      <c r="D54" s="64" t="n">
        <f aca="false">SUM(E54:M54)+O54+P54</f>
        <v>0</v>
      </c>
      <c r="E54" s="77" t="n">
        <v>0</v>
      </c>
      <c r="F54" s="77" t="n">
        <v>0</v>
      </c>
      <c r="G54" s="77" t="n">
        <v>0</v>
      </c>
      <c r="H54" s="77" t="n">
        <v>0</v>
      </c>
      <c r="I54" s="77" t="n">
        <v>0</v>
      </c>
      <c r="J54" s="77" t="n">
        <v>0</v>
      </c>
      <c r="K54" s="77" t="n">
        <v>0</v>
      </c>
      <c r="L54" s="77" t="n">
        <v>0</v>
      </c>
      <c r="M54" s="77" t="n">
        <v>0</v>
      </c>
      <c r="N54" s="77"/>
      <c r="O54" s="77" t="n">
        <v>0</v>
      </c>
      <c r="P54" s="77" t="n">
        <v>0</v>
      </c>
      <c r="R54" s="77" t="n">
        <f aca="false">[15]APR_YTD!$H$51</f>
        <v>-3475</v>
      </c>
    </row>
    <row r="55" customFormat="false" ht="12.75" hidden="false" customHeight="true" outlineLevel="2" collapsed="false">
      <c r="A55" s="57"/>
      <c r="B55" s="58"/>
      <c r="C55" s="58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R55" s="73"/>
    </row>
    <row r="56" customFormat="false" ht="12.75" hidden="false" customHeight="true" outlineLevel="1" collapsed="false">
      <c r="A56" s="57" t="s">
        <v>89</v>
      </c>
      <c r="B56" s="74" t="n">
        <f aca="false">B54+B52</f>
        <v>182353.547</v>
      </c>
      <c r="C56" s="58"/>
      <c r="D56" s="74" t="n">
        <f aca="false">D54+D52</f>
        <v>163945.497</v>
      </c>
      <c r="E56" s="74" t="n">
        <f aca="false">E54+E52</f>
        <v>96174.587</v>
      </c>
      <c r="F56" s="74" t="n">
        <f aca="false">F54+F52</f>
        <v>64929.707</v>
      </c>
      <c r="G56" s="74" t="n">
        <f aca="false">G54+G52</f>
        <v>0</v>
      </c>
      <c r="H56" s="74" t="n">
        <f aca="false">H54+H52</f>
        <v>140.379</v>
      </c>
      <c r="I56" s="74" t="n">
        <f aca="false">I54+I52</f>
        <v>-0.341000000000001</v>
      </c>
      <c r="J56" s="74" t="n">
        <f aca="false">J54+J52</f>
        <v>4.25099999999964</v>
      </c>
      <c r="K56" s="74" t="n">
        <f aca="false">K54+K52</f>
        <v>-274.651</v>
      </c>
      <c r="L56" s="74" t="n">
        <f aca="false">L52-L54</f>
        <v>18.2180000000001</v>
      </c>
      <c r="M56" s="74" t="n">
        <f aca="false">M52-M54</f>
        <v>-2735</v>
      </c>
      <c r="N56" s="74" t="n">
        <f aca="false">N54+N52</f>
        <v>-2716.782</v>
      </c>
      <c r="O56" s="74" t="n">
        <f aca="false">O54+O52</f>
        <v>5654.347</v>
      </c>
      <c r="P56" s="74" t="n">
        <f aca="false">P54+P52</f>
        <v>34</v>
      </c>
      <c r="R56" s="74" t="n">
        <f aca="false">R54+R52</f>
        <v>18408.05</v>
      </c>
    </row>
    <row r="57" customFormat="false" ht="12.75" hidden="false" customHeight="true" outlineLevel="1" collapsed="false">
      <c r="B57" s="42"/>
      <c r="C57" s="42"/>
    </row>
    <row r="58" customFormat="false" ht="12.75" hidden="false" customHeight="true" outlineLevel="0" collapsed="false">
      <c r="A58" s="40" t="s">
        <v>90</v>
      </c>
      <c r="B58" s="64" t="n">
        <f aca="false">D58+R58</f>
        <v>-50027</v>
      </c>
      <c r="C58" s="42"/>
      <c r="D58" s="64" t="n">
        <f aca="false">SUM(E58:P58)</f>
        <v>-50027</v>
      </c>
      <c r="E58" s="77" t="n">
        <v>-26</v>
      </c>
      <c r="F58" s="77" t="n">
        <v>-50000</v>
      </c>
      <c r="G58" s="77" t="n">
        <v>0</v>
      </c>
      <c r="H58" s="77" t="n">
        <v>0</v>
      </c>
      <c r="I58" s="77" t="n">
        <v>173</v>
      </c>
      <c r="J58" s="77" t="n">
        <v>-436</v>
      </c>
      <c r="K58" s="77" t="n">
        <v>262</v>
      </c>
      <c r="L58" s="77" t="n">
        <v>0</v>
      </c>
      <c r="M58" s="77" t="n">
        <v>0</v>
      </c>
      <c r="N58" s="77"/>
      <c r="O58" s="77" t="n">
        <v>0</v>
      </c>
      <c r="P58" s="77" t="n">
        <v>0</v>
      </c>
      <c r="R58" s="77" t="n">
        <v>0</v>
      </c>
    </row>
    <row r="59" customFormat="false" ht="12.75" hidden="false" customHeight="true" outlineLevel="0" collapsed="false">
      <c r="B59" s="42"/>
      <c r="C59" s="42"/>
    </row>
    <row r="60" customFormat="false" ht="12.75" hidden="false" customHeight="true" outlineLevel="0" collapsed="false">
      <c r="A60" s="40" t="s">
        <v>91</v>
      </c>
      <c r="B60" s="74" t="n">
        <f aca="false">B56+B58</f>
        <v>132326.547</v>
      </c>
      <c r="C60" s="42"/>
      <c r="D60" s="74" t="n">
        <f aca="false">D56+D58</f>
        <v>113918.497</v>
      </c>
      <c r="E60" s="74" t="n">
        <f aca="false">E56+E58</f>
        <v>96148.587</v>
      </c>
      <c r="F60" s="74" t="n">
        <f aca="false">F56+F58</f>
        <v>14929.707</v>
      </c>
      <c r="G60" s="74" t="n">
        <f aca="false">G56+G58</f>
        <v>0</v>
      </c>
      <c r="H60" s="74" t="n">
        <f aca="false">H56+H58</f>
        <v>140.379</v>
      </c>
      <c r="I60" s="74" t="n">
        <f aca="false">I56+I58</f>
        <v>172.659</v>
      </c>
      <c r="J60" s="74" t="n">
        <f aca="false">J56+J58</f>
        <v>-431.749</v>
      </c>
      <c r="K60" s="74" t="n">
        <f aca="false">K56+K58</f>
        <v>-12.6510000000001</v>
      </c>
      <c r="L60" s="74" t="n">
        <f aca="false">L56+L58</f>
        <v>18.2180000000001</v>
      </c>
      <c r="M60" s="74" t="n">
        <f aca="false">M56+M58</f>
        <v>-2735</v>
      </c>
      <c r="N60" s="74" t="n">
        <f aca="false">M60+L60</f>
        <v>-2716.782</v>
      </c>
      <c r="O60" s="74" t="n">
        <f aca="false">O56+O58</f>
        <v>5654.347</v>
      </c>
      <c r="P60" s="74" t="n">
        <f aca="false">P56+P58</f>
        <v>34</v>
      </c>
      <c r="R60" s="74" t="n">
        <f aca="false">R56+R58</f>
        <v>18408.05</v>
      </c>
    </row>
    <row r="61" customFormat="false" ht="12.75" hidden="false" customHeight="true" outlineLevel="0" collapsed="false">
      <c r="B61" s="42"/>
      <c r="C61" s="42"/>
    </row>
    <row r="62" customFormat="false" ht="12.75" hidden="false" customHeight="true" outlineLevel="0" collapsed="false">
      <c r="B62" s="42"/>
      <c r="C62" s="42"/>
    </row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529861111111111" bottom="0.5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77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E5" activeCellId="0" sqref="E5"/>
    </sheetView>
  </sheetViews>
  <sheetFormatPr defaultColWidth="8.9921875" defaultRowHeight="12.75" customHeight="true" zeroHeight="false" outlineLevelRow="4" outlineLevelCol="0"/>
  <cols>
    <col collapsed="false" customWidth="true" hidden="false" outlineLevel="0" max="1" min="1" style="40" width="67.99"/>
    <col collapsed="false" customWidth="true" hidden="false" outlineLevel="0" max="2" min="2" style="40" width="14.49"/>
    <col collapsed="false" customWidth="true" hidden="false" outlineLevel="0" max="3" min="3" style="40" width="1.82"/>
    <col collapsed="false" customWidth="true" hidden="false" outlineLevel="0" max="4" min="4" style="40" width="11.82"/>
    <col collapsed="false" customWidth="true" hidden="false" outlineLevel="0" max="5" min="5" style="40" width="10.65"/>
    <col collapsed="false" customWidth="true" hidden="false" outlineLevel="0" max="6" min="6" style="40" width="10.82"/>
    <col collapsed="false" customWidth="true" hidden="false" outlineLevel="0" max="7" min="7" style="40" width="12.82"/>
    <col collapsed="false" customWidth="true" hidden="false" outlineLevel="0" max="11" min="8" style="40" width="10.82"/>
    <col collapsed="false" customWidth="true" hidden="true" outlineLevel="0" max="13" min="12" style="40" width="10.82"/>
    <col collapsed="false" customWidth="true" hidden="false" outlineLevel="0" max="15" min="14" style="40" width="12.16"/>
    <col collapsed="false" customWidth="true" hidden="false" outlineLevel="0" max="16" min="16" style="40" width="10.82"/>
    <col collapsed="false" customWidth="true" hidden="false" outlineLevel="0" max="17" min="17" style="40" width="3.65"/>
    <col collapsed="false" customWidth="true" hidden="false" outlineLevel="0" max="18" min="18" style="40" width="9.82"/>
    <col collapsed="false" customWidth="false" hidden="false" outlineLevel="0" max="257" min="19" style="40" width="8.99"/>
  </cols>
  <sheetData>
    <row r="1" customFormat="false" ht="12.75" hidden="false" customHeight="true" outlineLevel="0" collapsed="false">
      <c r="A1" s="41" t="s">
        <v>18</v>
      </c>
      <c r="B1" s="42"/>
      <c r="C1" s="42"/>
      <c r="D1" s="42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customFormat="false" ht="12.75" hidden="false" customHeight="true" outlineLevel="0" collapsed="false">
      <c r="A2" s="44" t="s">
        <v>19</v>
      </c>
      <c r="D2" s="45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customFormat="false" ht="12.75" hidden="false" customHeight="true" outlineLevel="0" collapsed="false">
      <c r="A3" s="47" t="s">
        <v>119</v>
      </c>
      <c r="B3" s="42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</row>
    <row r="4" customFormat="false" ht="12.75" hidden="false" customHeight="true" outlineLevel="0" collapsed="false">
      <c r="A4" s="42"/>
      <c r="B4" s="49" t="s">
        <v>97</v>
      </c>
      <c r="C4" s="50"/>
      <c r="D4" s="51"/>
      <c r="I4" s="52" t="s">
        <v>98</v>
      </c>
      <c r="J4" s="52" t="s">
        <v>28</v>
      </c>
      <c r="K4" s="52" t="s">
        <v>29</v>
      </c>
      <c r="L4" s="52" t="s">
        <v>30</v>
      </c>
      <c r="M4" s="52" t="s">
        <v>31</v>
      </c>
      <c r="N4" s="52" t="s">
        <v>30</v>
      </c>
      <c r="O4" s="52" t="s">
        <v>32</v>
      </c>
      <c r="R4" s="53" t="s">
        <v>21</v>
      </c>
    </row>
    <row r="5" customFormat="false" ht="12.75" hidden="false" customHeight="true" outlineLevel="0" collapsed="false">
      <c r="A5" s="54" t="s">
        <v>34</v>
      </c>
      <c r="B5" s="55" t="s">
        <v>100</v>
      </c>
      <c r="C5" s="52"/>
      <c r="D5" s="51" t="s">
        <v>35</v>
      </c>
      <c r="E5" s="51" t="s">
        <v>22</v>
      </c>
      <c r="F5" s="51" t="s">
        <v>23</v>
      </c>
      <c r="G5" s="51" t="s">
        <v>24</v>
      </c>
      <c r="H5" s="51" t="s">
        <v>25</v>
      </c>
      <c r="I5" s="51" t="n">
        <v>543</v>
      </c>
      <c r="J5" s="51" t="n">
        <v>584</v>
      </c>
      <c r="K5" s="51" t="n">
        <v>583</v>
      </c>
      <c r="L5" s="51" t="s">
        <v>36</v>
      </c>
      <c r="M5" s="51"/>
      <c r="N5" s="51" t="s">
        <v>37</v>
      </c>
      <c r="O5" s="51" t="s">
        <v>38</v>
      </c>
      <c r="P5" s="51" t="s">
        <v>33</v>
      </c>
      <c r="R5" s="56" t="s">
        <v>102</v>
      </c>
    </row>
    <row r="6" customFormat="false" ht="12.75" hidden="false" customHeight="true" outlineLevel="2" collapsed="false">
      <c r="A6" s="57"/>
      <c r="B6" s="58"/>
      <c r="C6" s="58"/>
      <c r="D6" s="59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</row>
    <row r="7" customFormat="false" ht="12.75" hidden="false" customHeight="true" outlineLevel="4" collapsed="false">
      <c r="A7" s="61" t="s">
        <v>39</v>
      </c>
      <c r="B7" s="58"/>
      <c r="C7" s="58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</row>
    <row r="8" customFormat="false" ht="12.75" hidden="false" customHeight="true" outlineLevel="4" collapsed="false">
      <c r="A8" s="57" t="s">
        <v>40</v>
      </c>
      <c r="B8" s="58" t="n">
        <f aca="false">D8+R8</f>
        <v>28690.462</v>
      </c>
      <c r="C8" s="58"/>
      <c r="D8" s="62" t="n">
        <f aca="false">SUM(E8:M8)+O8+P8</f>
        <v>29061.642</v>
      </c>
      <c r="E8" s="62" t="n">
        <f aca="false">MarYTD!E8-FebYTD!E8</f>
        <v>21396.929</v>
      </c>
      <c r="F8" s="62" t="n">
        <f aca="false">MarYTD!F8-FebYTD!F8</f>
        <v>3941.993</v>
      </c>
      <c r="G8" s="62" t="n">
        <f aca="false">MarYTD!G8-FebYTD!G8</f>
        <v>2064.385</v>
      </c>
      <c r="H8" s="62" t="n">
        <f aca="false">MarYTD!H8-FebYTD!H8</f>
        <v>295.55</v>
      </c>
      <c r="I8" s="62" t="n">
        <f aca="false">MarYTD!I8-FebYTD!I8</f>
        <v>-0.286000000000003</v>
      </c>
      <c r="J8" s="62" t="n">
        <f aca="false">MarYTD!J8-FebYTD!J8</f>
        <v>44.1489999999999</v>
      </c>
      <c r="K8" s="62" t="n">
        <f aca="false">MarYTD!K8-FebYTD!K8</f>
        <v>20.902</v>
      </c>
      <c r="L8" s="62" t="n">
        <f aca="false">MarYTD!L8-FebYTD!L8</f>
        <v>15.619</v>
      </c>
      <c r="M8" s="62" t="n">
        <f aca="false">MarYTD!M8-FebYTD!M8</f>
        <v>0</v>
      </c>
      <c r="N8" s="62" t="n">
        <f aca="false">M8+L8</f>
        <v>15.619</v>
      </c>
      <c r="O8" s="62" t="n">
        <f aca="false">MarYTD!O8-FebYTD!O8</f>
        <v>1282.402</v>
      </c>
      <c r="P8" s="62" t="n">
        <f aca="false">MarYTD!P8-FebYTD!P8</f>
        <v>-0.000999999999999446</v>
      </c>
      <c r="R8" s="62" t="n">
        <f aca="false">MarYTD!R8-FebYTD!R8</f>
        <v>-371.18</v>
      </c>
    </row>
    <row r="9" customFormat="false" ht="12.75" hidden="false" customHeight="true" outlineLevel="4" collapsed="false">
      <c r="A9" s="57" t="s">
        <v>41</v>
      </c>
      <c r="B9" s="63" t="n">
        <f aca="false">D9+R9</f>
        <v>1079.939</v>
      </c>
      <c r="C9" s="58"/>
      <c r="D9" s="64" t="n">
        <f aca="false">SUM(E9:M9)+O9+P9</f>
        <v>1079.939</v>
      </c>
      <c r="E9" s="64" t="n">
        <f aca="false">MarYTD!E9-FebYTD!E9</f>
        <v>-1205.284</v>
      </c>
      <c r="F9" s="64" t="n">
        <f aca="false">MarYTD!F9-FebYTD!F9</f>
        <v>332.72</v>
      </c>
      <c r="G9" s="64" t="n">
        <f aca="false">MarYTD!G9-FebYTD!G9</f>
        <v>0</v>
      </c>
      <c r="H9" s="64" t="n">
        <f aca="false">MarYTD!H9-FebYTD!H9</f>
        <v>292.657</v>
      </c>
      <c r="I9" s="64" t="n">
        <f aca="false">MarYTD!I9-FebYTD!I9</f>
        <v>0</v>
      </c>
      <c r="J9" s="64" t="n">
        <f aca="false">MarYTD!J9-FebYTD!J9</f>
        <v>27.118</v>
      </c>
      <c r="K9" s="64" t="n">
        <f aca="false">MarYTD!K9-FebYTD!K9</f>
        <v>0</v>
      </c>
      <c r="L9" s="64" t="n">
        <f aca="false">MarYTD!L9-FebYTD!L9</f>
        <v>0</v>
      </c>
      <c r="M9" s="64" t="n">
        <f aca="false">MarYTD!M9-FebYTD!M9</f>
        <v>0</v>
      </c>
      <c r="N9" s="64" t="n">
        <f aca="false">M9+L9</f>
        <v>0</v>
      </c>
      <c r="O9" s="64" t="n">
        <f aca="false">MarYTD!O9-FebYTD!O9</f>
        <v>1632.728</v>
      </c>
      <c r="P9" s="64" t="n">
        <f aca="false">MarYTD!P9-FebYTD!P9</f>
        <v>0</v>
      </c>
      <c r="R9" s="50"/>
    </row>
    <row r="10" customFormat="false" ht="12.75" hidden="false" customHeight="true" outlineLevel="4" collapsed="false">
      <c r="A10" s="57" t="s">
        <v>42</v>
      </c>
      <c r="B10" s="65" t="n">
        <f aca="false">B8+B9</f>
        <v>29770.401</v>
      </c>
      <c r="C10" s="58"/>
      <c r="D10" s="65" t="n">
        <f aca="false">D8+D9</f>
        <v>30141.581</v>
      </c>
      <c r="E10" s="65" t="n">
        <f aca="false">E8+E9</f>
        <v>20191.645</v>
      </c>
      <c r="F10" s="65" t="n">
        <f aca="false">F8+F9</f>
        <v>4274.713</v>
      </c>
      <c r="G10" s="65" t="n">
        <f aca="false">G8+G9</f>
        <v>2064.385</v>
      </c>
      <c r="H10" s="65" t="n">
        <f aca="false">H8+H9</f>
        <v>588.207</v>
      </c>
      <c r="I10" s="65" t="n">
        <f aca="false">I8+I9</f>
        <v>-0.286000000000003</v>
      </c>
      <c r="J10" s="65" t="n">
        <f aca="false">J8+J9</f>
        <v>71.2669999999999</v>
      </c>
      <c r="K10" s="65" t="n">
        <f aca="false">K8+K9</f>
        <v>20.902</v>
      </c>
      <c r="L10" s="65" t="n">
        <f aca="false">L8+L9</f>
        <v>15.619</v>
      </c>
      <c r="M10" s="65" t="n">
        <f aca="false">M8+M9</f>
        <v>0</v>
      </c>
      <c r="N10" s="65" t="n">
        <f aca="false">N8</f>
        <v>15.619</v>
      </c>
      <c r="O10" s="65" t="n">
        <f aca="false">O8+O9</f>
        <v>2915.13</v>
      </c>
      <c r="P10" s="65" t="n">
        <f aca="false">P8+P9</f>
        <v>-0.000999999999999446</v>
      </c>
      <c r="R10" s="65" t="n">
        <f aca="false">R8+R9</f>
        <v>-371.18</v>
      </c>
    </row>
    <row r="11" customFormat="false" ht="12.75" hidden="false" customHeight="true" outlineLevel="4" collapsed="false">
      <c r="A11" s="57"/>
      <c r="B11" s="65"/>
      <c r="C11" s="58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R11" s="65"/>
    </row>
    <row r="12" customFormat="false" ht="12.75" hidden="false" customHeight="true" outlineLevel="4" collapsed="false">
      <c r="A12" s="57" t="s">
        <v>43</v>
      </c>
      <c r="B12" s="58" t="n">
        <f aca="false">D12+R12</f>
        <v>5542.808</v>
      </c>
      <c r="C12" s="58"/>
      <c r="D12" s="62" t="n">
        <f aca="false">SUM(E12:M12)+O12+P12</f>
        <v>5542.808</v>
      </c>
      <c r="E12" s="62" t="n">
        <f aca="false">MarYTD!E12-FebYTD!E12</f>
        <v>3913.199</v>
      </c>
      <c r="F12" s="62" t="n">
        <f aca="false">MarYTD!F12-FebYTD!F12</f>
        <v>1618.452</v>
      </c>
      <c r="G12" s="62" t="n">
        <f aca="false">MarYTD!G12-FebYTD!G12</f>
        <v>0</v>
      </c>
      <c r="H12" s="62" t="n">
        <f aca="false">MarYTD!H12-FebYTD!H12</f>
        <v>0</v>
      </c>
      <c r="I12" s="62" t="n">
        <f aca="false">MarYTD!I12-FebYTD!I12</f>
        <v>0</v>
      </c>
      <c r="J12" s="62" t="n">
        <f aca="false">MarYTD!J12-FebYTD!J12</f>
        <v>0</v>
      </c>
      <c r="K12" s="62" t="n">
        <f aca="false">MarYTD!K12-FebYTD!K12</f>
        <v>0</v>
      </c>
      <c r="L12" s="62" t="n">
        <f aca="false">MarYTD!L12-FebYTD!L12</f>
        <v>11.157</v>
      </c>
      <c r="M12" s="62" t="n">
        <f aca="false">MarYTD!M12-FebYTD!M12</f>
        <v>0</v>
      </c>
      <c r="N12" s="62" t="n">
        <f aca="false">M12+L12</f>
        <v>11.157</v>
      </c>
      <c r="O12" s="62" t="n">
        <f aca="false">MarYTD!O12-FebYTD!O12</f>
        <v>0</v>
      </c>
      <c r="P12" s="62" t="n">
        <f aca="false">MarYTD!P12-FebYTD!P12</f>
        <v>0</v>
      </c>
      <c r="R12" s="62" t="n">
        <f aca="false">MarYTD!R12-FebYTD!R12</f>
        <v>0</v>
      </c>
    </row>
    <row r="13" customFormat="false" ht="12.75" hidden="false" customHeight="true" outlineLevel="4" collapsed="false">
      <c r="A13" s="57" t="s">
        <v>45</v>
      </c>
      <c r="B13" s="58" t="n">
        <f aca="false">D13+R13</f>
        <v>2711.847</v>
      </c>
      <c r="C13" s="58"/>
      <c r="D13" s="62" t="n">
        <f aca="false">SUM(E13:M13)+O13+P13</f>
        <v>2706.784</v>
      </c>
      <c r="E13" s="62" t="n">
        <f aca="false">MarYTD!E13-FebYTD!E13</f>
        <v>2575.174</v>
      </c>
      <c r="F13" s="62" t="n">
        <f aca="false">MarYTD!F13-FebYTD!F13</f>
        <v>76.1729999999999</v>
      </c>
      <c r="G13" s="62" t="n">
        <f aca="false">MarYTD!G13-FebYTD!G13</f>
        <v>0</v>
      </c>
      <c r="H13" s="62" t="n">
        <f aca="false">MarYTD!H13-FebYTD!H13</f>
        <v>55.192</v>
      </c>
      <c r="I13" s="62" t="n">
        <f aca="false">MarYTD!I13-FebYTD!I13</f>
        <v>0</v>
      </c>
      <c r="J13" s="62" t="n">
        <f aca="false">MarYTD!J13-FebYTD!J13</f>
        <v>0</v>
      </c>
      <c r="K13" s="62" t="n">
        <f aca="false">MarYTD!K13-FebYTD!K13</f>
        <v>-0.606</v>
      </c>
      <c r="L13" s="62" t="n">
        <f aca="false">MarYTD!L13-FebYTD!L13</f>
        <v>0.851</v>
      </c>
      <c r="M13" s="62" t="n">
        <f aca="false">MarYTD!M13-FebYTD!M13</f>
        <v>0</v>
      </c>
      <c r="N13" s="62" t="n">
        <f aca="false">M13+L13</f>
        <v>0.851</v>
      </c>
      <c r="O13" s="62" t="n">
        <f aca="false">MarYTD!O13-FebYTD!O13</f>
        <v>0</v>
      </c>
      <c r="P13" s="62" t="n">
        <f aca="false">MarYTD!P13-FebYTD!P13</f>
        <v>0</v>
      </c>
      <c r="R13" s="62" t="n">
        <f aca="false">MarYTD!R13-FebYTD!R13</f>
        <v>5.063</v>
      </c>
    </row>
    <row r="14" customFormat="false" ht="12.75" hidden="false" customHeight="true" outlineLevel="4" collapsed="false">
      <c r="A14" s="57" t="s">
        <v>47</v>
      </c>
      <c r="B14" s="58" t="n">
        <f aca="false">D14+R14</f>
        <v>-102.198</v>
      </c>
      <c r="C14" s="58"/>
      <c r="D14" s="62" t="n">
        <f aca="false">SUM(E14:M14)+O14+P14</f>
        <v>-102.198</v>
      </c>
      <c r="E14" s="62" t="n">
        <f aca="false">MarYTD!E14-FebYTD!E14</f>
        <v>-102.197</v>
      </c>
      <c r="F14" s="62" t="n">
        <f aca="false">MarYTD!F14-FebYTD!F14</f>
        <v>-0.001</v>
      </c>
      <c r="G14" s="62" t="n">
        <f aca="false">MarYTD!G14-FebYTD!G14</f>
        <v>0</v>
      </c>
      <c r="H14" s="62" t="n">
        <f aca="false">MarYTD!H14-FebYTD!H14</f>
        <v>0</v>
      </c>
      <c r="I14" s="62" t="n">
        <f aca="false">MarYTD!I14-FebYTD!I14</f>
        <v>0</v>
      </c>
      <c r="J14" s="62" t="n">
        <f aca="false">MarYTD!J14-FebYTD!J14</f>
        <v>0</v>
      </c>
      <c r="K14" s="62" t="n">
        <f aca="false">MarYTD!K14-FebYTD!K14</f>
        <v>0</v>
      </c>
      <c r="L14" s="62" t="n">
        <f aca="false">MarYTD!L14-FebYTD!L14</f>
        <v>0</v>
      </c>
      <c r="M14" s="62" t="n">
        <f aca="false">MarYTD!M14-FebYTD!M14</f>
        <v>0</v>
      </c>
      <c r="N14" s="62" t="n">
        <f aca="false">M14+L14</f>
        <v>0</v>
      </c>
      <c r="O14" s="62" t="n">
        <f aca="false">MarYTD!O14-FebYTD!O14</f>
        <v>0</v>
      </c>
      <c r="P14" s="62" t="n">
        <f aca="false">MarYTD!P14-FebYTD!P14</f>
        <v>0</v>
      </c>
      <c r="R14" s="62" t="n">
        <f aca="false">MarYTD!R14-FebYTD!R14</f>
        <v>0</v>
      </c>
    </row>
    <row r="15" customFormat="false" ht="12.75" hidden="false" customHeight="true" outlineLevel="4" collapsed="false">
      <c r="A15" s="57" t="s">
        <v>48</v>
      </c>
      <c r="B15" s="58" t="n">
        <f aca="false">D15+R15</f>
        <v>0</v>
      </c>
      <c r="C15" s="58"/>
      <c r="D15" s="62" t="n">
        <f aca="false">SUM(E15:M15)+O15+P15</f>
        <v>0</v>
      </c>
      <c r="E15" s="62" t="n">
        <f aca="false">MarYTD!E15-FebYTD!E15</f>
        <v>0</v>
      </c>
      <c r="F15" s="62" t="n">
        <f aca="false">MarYTD!F15-FebYTD!F15</f>
        <v>0</v>
      </c>
      <c r="G15" s="62" t="n">
        <f aca="false">MarYTD!G15-FebYTD!G15</f>
        <v>0</v>
      </c>
      <c r="H15" s="62" t="n">
        <f aca="false">MarYTD!H15-FebYTD!H15</f>
        <v>0</v>
      </c>
      <c r="I15" s="62" t="n">
        <f aca="false">MarYTD!I15-FebYTD!I15</f>
        <v>0</v>
      </c>
      <c r="J15" s="62" t="n">
        <f aca="false">MarYTD!J15-FebYTD!J15</f>
        <v>0</v>
      </c>
      <c r="K15" s="62" t="n">
        <f aca="false">MarYTD!K15-FebYTD!K15</f>
        <v>0</v>
      </c>
      <c r="L15" s="62" t="n">
        <f aca="false">MarYTD!L15-FebYTD!L15</f>
        <v>0</v>
      </c>
      <c r="M15" s="62" t="n">
        <f aca="false">MarYTD!M15-FebYTD!M15</f>
        <v>0</v>
      </c>
      <c r="N15" s="62" t="n">
        <f aca="false">M15+L15</f>
        <v>0</v>
      </c>
      <c r="O15" s="62" t="n">
        <f aca="false">MarYTD!O15-FebYTD!O15</f>
        <v>0</v>
      </c>
      <c r="P15" s="62" t="n">
        <f aca="false">MarYTD!P15-FebYTD!P15</f>
        <v>0</v>
      </c>
      <c r="R15" s="62" t="n">
        <f aca="false">MarYTD!R15-FebYTD!R15</f>
        <v>0</v>
      </c>
    </row>
    <row r="16" customFormat="false" ht="12.75" hidden="false" customHeight="true" outlineLevel="4" collapsed="false">
      <c r="A16" s="57" t="s">
        <v>51</v>
      </c>
      <c r="B16" s="58" t="n">
        <f aca="false">D16+R16</f>
        <v>-2277.736</v>
      </c>
      <c r="C16" s="58"/>
      <c r="D16" s="62" t="n">
        <f aca="false">SUM(E16:M16)+O16+P16</f>
        <v>-2838.316</v>
      </c>
      <c r="E16" s="62" t="n">
        <f aca="false">MarYTD!E16-FebYTD!E16</f>
        <v>-253.391</v>
      </c>
      <c r="F16" s="62" t="n">
        <f aca="false">MarYTD!F16-FebYTD!F16</f>
        <v>0</v>
      </c>
      <c r="G16" s="62" t="n">
        <f aca="false">MarYTD!G16-FebYTD!G16</f>
        <v>-2064.385</v>
      </c>
      <c r="H16" s="62" t="n">
        <f aca="false">MarYTD!H16-FebYTD!H16</f>
        <v>-520.54</v>
      </c>
      <c r="I16" s="62" t="n">
        <f aca="false">MarYTD!I16-FebYTD!I16</f>
        <v>0</v>
      </c>
      <c r="J16" s="62" t="n">
        <f aca="false">MarYTD!J16-FebYTD!J16</f>
        <v>0</v>
      </c>
      <c r="K16" s="62" t="n">
        <f aca="false">MarYTD!K16-FebYTD!K16</f>
        <v>0</v>
      </c>
      <c r="L16" s="62" t="n">
        <f aca="false">MarYTD!L16-FebYTD!L16</f>
        <v>0</v>
      </c>
      <c r="M16" s="62" t="n">
        <f aca="false">MarYTD!M16-FebYTD!M16</f>
        <v>0</v>
      </c>
      <c r="N16" s="62" t="n">
        <f aca="false">M16+L16</f>
        <v>0</v>
      </c>
      <c r="O16" s="62" t="n">
        <f aca="false">MarYTD!O16-FebYTD!O16</f>
        <v>0</v>
      </c>
      <c r="P16" s="62" t="n">
        <f aca="false">MarYTD!P16-FebYTD!P16</f>
        <v>0</v>
      </c>
      <c r="R16" s="62" t="n">
        <f aca="false">MarYTD!R16-FebYTD!R16</f>
        <v>560.58</v>
      </c>
    </row>
    <row r="17" customFormat="false" ht="12.75" hidden="false" customHeight="true" outlineLevel="4" collapsed="false">
      <c r="A17" s="57" t="s">
        <v>52</v>
      </c>
      <c r="B17" s="58" t="n">
        <f aca="false">D17+R17</f>
        <v>800</v>
      </c>
      <c r="C17" s="58"/>
      <c r="D17" s="62" t="n">
        <f aca="false">SUM(E17:M17)+O17+P17</f>
        <v>800</v>
      </c>
      <c r="E17" s="62" t="n">
        <f aca="false">MarYTD!E17-FebYTD!E17</f>
        <v>800</v>
      </c>
      <c r="F17" s="62" t="n">
        <f aca="false">MarYTD!F17-FebYTD!F17</f>
        <v>0</v>
      </c>
      <c r="G17" s="62" t="n">
        <f aca="false">MarYTD!G17-FebYTD!G17</f>
        <v>0</v>
      </c>
      <c r="H17" s="62" t="n">
        <f aca="false">MarYTD!H17-FebYTD!H17</f>
        <v>0</v>
      </c>
      <c r="I17" s="62" t="n">
        <f aca="false">MarYTD!I17-FebYTD!I17</f>
        <v>0</v>
      </c>
      <c r="J17" s="62" t="n">
        <f aca="false">MarYTD!J17-FebYTD!J17</f>
        <v>0</v>
      </c>
      <c r="K17" s="62" t="n">
        <f aca="false">MarYTD!K17-FebYTD!K17</f>
        <v>0</v>
      </c>
      <c r="L17" s="62" t="n">
        <f aca="false">MarYTD!L17-FebYTD!L17</f>
        <v>0</v>
      </c>
      <c r="M17" s="62" t="n">
        <f aca="false">MarYTD!M17-FebYTD!M17</f>
        <v>0</v>
      </c>
      <c r="N17" s="62" t="n">
        <f aca="false">M17+L17</f>
        <v>0</v>
      </c>
      <c r="O17" s="62" t="n">
        <f aca="false">MarYTD!O17-FebYTD!O17</f>
        <v>0</v>
      </c>
      <c r="P17" s="62" t="n">
        <f aca="false">MarYTD!P17-FebYTD!P17</f>
        <v>0</v>
      </c>
      <c r="R17" s="62" t="n">
        <f aca="false">MarYTD!R17-FebYTD!R17</f>
        <v>0</v>
      </c>
    </row>
    <row r="18" customFormat="false" ht="12.75" hidden="false" customHeight="true" outlineLevel="4" collapsed="false">
      <c r="A18" s="57" t="s">
        <v>53</v>
      </c>
      <c r="B18" s="63" t="n">
        <f aca="false">D18+R18</f>
        <v>-18642</v>
      </c>
      <c r="C18" s="58"/>
      <c r="D18" s="62" t="n">
        <f aca="false">SUM(E18:M18)+O18+P18</f>
        <v>-18898</v>
      </c>
      <c r="E18" s="62" t="n">
        <f aca="false">MarYTD!E18-FebYTD!E18</f>
        <v>-5945</v>
      </c>
      <c r="F18" s="62" t="n">
        <f aca="false">MarYTD!F18-FebYTD!F18</f>
        <v>443</v>
      </c>
      <c r="G18" s="62" t="n">
        <f aca="false">MarYTD!G18-FebYTD!G18</f>
        <v>0</v>
      </c>
      <c r="H18" s="62" t="n">
        <f aca="false">MarYTD!H18-FebYTD!H18</f>
        <v>0</v>
      </c>
      <c r="I18" s="62" t="n">
        <f aca="false">MarYTD!I18-FebYTD!I18</f>
        <v>1</v>
      </c>
      <c r="J18" s="62" t="n">
        <f aca="false">MarYTD!J18-FebYTD!J18</f>
        <v>-358</v>
      </c>
      <c r="K18" s="62" t="n">
        <f aca="false">MarYTD!K18-FebYTD!K18</f>
        <v>2</v>
      </c>
      <c r="L18" s="62" t="n">
        <f aca="false">MarYTD!L18-FebYTD!L18</f>
        <v>-31</v>
      </c>
      <c r="M18" s="62" t="n">
        <f aca="false">MarYTD!M18-FebYTD!M18</f>
        <v>-16746</v>
      </c>
      <c r="N18" s="62" t="n">
        <f aca="false">M18+L18</f>
        <v>-16777</v>
      </c>
      <c r="O18" s="62" t="n">
        <f aca="false">MarYTD!O18-FebYTD!O18</f>
        <v>3704</v>
      </c>
      <c r="P18" s="62" t="n">
        <f aca="false">MarYTD!P18-FebYTD!P18</f>
        <v>32</v>
      </c>
      <c r="R18" s="62" t="n">
        <f aca="false">MarYTD!R18-FebYTD!R18</f>
        <v>256</v>
      </c>
    </row>
    <row r="19" customFormat="false" ht="12.75" hidden="false" customHeight="true" outlineLevel="4" collapsed="false">
      <c r="A19" s="57" t="s">
        <v>54</v>
      </c>
      <c r="B19" s="66" t="n">
        <f aca="false">SUM(B10:B18)</f>
        <v>17803.122</v>
      </c>
      <c r="C19" s="58"/>
      <c r="D19" s="66" t="n">
        <f aca="false">SUM(D10:D18)</f>
        <v>17352.659</v>
      </c>
      <c r="E19" s="66" t="n">
        <f aca="false">SUM(E10:E18)</f>
        <v>21179.43</v>
      </c>
      <c r="F19" s="66" t="n">
        <f aca="false">SUM(F10:F18)</f>
        <v>6412.337</v>
      </c>
      <c r="G19" s="66" t="n">
        <f aca="false">SUM(G10:G18)</f>
        <v>0</v>
      </c>
      <c r="H19" s="66" t="n">
        <f aca="false">SUM(H10:H18)</f>
        <v>122.859</v>
      </c>
      <c r="I19" s="66" t="n">
        <f aca="false">SUM(I10:I18)</f>
        <v>0.713999999999997</v>
      </c>
      <c r="J19" s="66" t="n">
        <f aca="false">SUM(J10:J18)</f>
        <v>-286.733</v>
      </c>
      <c r="K19" s="66" t="n">
        <f aca="false">SUM(K10:K18)</f>
        <v>22.296</v>
      </c>
      <c r="L19" s="66" t="n">
        <f aca="false">SUM(L10:L18)</f>
        <v>-3.373</v>
      </c>
      <c r="M19" s="66" t="n">
        <f aca="false">SUM(M10:M18)</f>
        <v>-16746</v>
      </c>
      <c r="N19" s="66" t="n">
        <f aca="false">SUM(N10:N18)</f>
        <v>-16749.373</v>
      </c>
      <c r="O19" s="66" t="n">
        <f aca="false">SUM(O10:O18)</f>
        <v>6619.13</v>
      </c>
      <c r="P19" s="66" t="n">
        <f aca="false">SUM(P10:P18)</f>
        <v>31.999</v>
      </c>
      <c r="R19" s="66" t="n">
        <f aca="false">SUM(R10:R18)</f>
        <v>450.463</v>
      </c>
    </row>
    <row r="20" customFormat="false" ht="12.75" hidden="false" customHeight="true" outlineLevel="4" collapsed="false">
      <c r="A20" s="57"/>
      <c r="B20" s="42"/>
      <c r="C20" s="58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R20" s="42"/>
    </row>
    <row r="21" customFormat="false" ht="12.75" hidden="false" customHeight="true" outlineLevel="4" collapsed="false">
      <c r="A21" s="57" t="s">
        <v>103</v>
      </c>
      <c r="B21" s="58"/>
      <c r="C21" s="58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</row>
    <row r="22" customFormat="false" ht="12.75" hidden="false" customHeight="true" outlineLevel="4" collapsed="false">
      <c r="A22" s="57" t="s">
        <v>56</v>
      </c>
      <c r="B22" s="58" t="n">
        <f aca="false">D22+R22</f>
        <v>3459</v>
      </c>
      <c r="C22" s="58"/>
      <c r="D22" s="62" t="n">
        <f aca="false">SUM(E22:M22)+O22+P22</f>
        <v>3628</v>
      </c>
      <c r="E22" s="62" t="n">
        <f aca="false">MarYTD!E22-FebYTD!E22</f>
        <v>1257</v>
      </c>
      <c r="F22" s="62" t="n">
        <f aca="false">MarYTD!F22-FebYTD!F22</f>
        <v>-185</v>
      </c>
      <c r="G22" s="62" t="n">
        <f aca="false">MarYTD!G22-FebYTD!G22</f>
        <v>0</v>
      </c>
      <c r="H22" s="62" t="n">
        <f aca="false">MarYTD!H22-FebYTD!H22</f>
        <v>-21</v>
      </c>
      <c r="I22" s="62" t="n">
        <f aca="false">MarYTD!I22-FebYTD!I22</f>
        <v>2</v>
      </c>
      <c r="J22" s="62" t="n">
        <f aca="false">MarYTD!J22-FebYTD!J22</f>
        <v>115</v>
      </c>
      <c r="K22" s="62" t="n">
        <f aca="false">MarYTD!K22-FebYTD!K22</f>
        <v>63</v>
      </c>
      <c r="L22" s="62" t="n">
        <f aca="false">MarYTD!L22-FebYTD!L22</f>
        <v>32</v>
      </c>
      <c r="M22" s="62" t="n">
        <f aca="false">MarYTD!M22-FebYTD!M22</f>
        <v>0</v>
      </c>
      <c r="N22" s="62" t="n">
        <f aca="false">M22+L22</f>
        <v>32</v>
      </c>
      <c r="O22" s="62" t="n">
        <f aca="false">MarYTD!O22-FebYTD!O22</f>
        <v>2409</v>
      </c>
      <c r="P22" s="62" t="n">
        <f aca="false">MarYTD!P22-FebYTD!P22</f>
        <v>-44</v>
      </c>
      <c r="R22" s="62" t="n">
        <f aca="false">MarYTD!R22-FebYTD!R22</f>
        <v>-169</v>
      </c>
    </row>
    <row r="23" customFormat="false" ht="12.75" hidden="false" customHeight="true" outlineLevel="4" collapsed="false">
      <c r="A23" s="57" t="s">
        <v>58</v>
      </c>
      <c r="B23" s="58" t="n">
        <f aca="false">D23+R23</f>
        <v>7255</v>
      </c>
      <c r="C23" s="58"/>
      <c r="D23" s="62" t="n">
        <f aca="false">SUM(E23:M23)+O23+P23</f>
        <v>7255</v>
      </c>
      <c r="E23" s="62" t="n">
        <f aca="false">MarYTD!E23-FebYTD!E23</f>
        <v>-6316</v>
      </c>
      <c r="F23" s="62" t="n">
        <f aca="false">MarYTD!F23-FebYTD!F23</f>
        <v>-5250</v>
      </c>
      <c r="G23" s="62" t="n">
        <f aca="false">MarYTD!G23-FebYTD!G23</f>
        <v>0</v>
      </c>
      <c r="H23" s="62" t="n">
        <f aca="false">MarYTD!H23-FebYTD!H23</f>
        <v>0</v>
      </c>
      <c r="I23" s="62" t="n">
        <f aca="false">MarYTD!I23-FebYTD!I23</f>
        <v>-2</v>
      </c>
      <c r="J23" s="62" t="n">
        <f aca="false">MarYTD!J23-FebYTD!J23</f>
        <v>577</v>
      </c>
      <c r="K23" s="62" t="n">
        <f aca="false">MarYTD!K23-FebYTD!K23</f>
        <v>-153</v>
      </c>
      <c r="L23" s="62" t="n">
        <f aca="false">MarYTD!L23-FebYTD!L23</f>
        <v>33</v>
      </c>
      <c r="M23" s="62" t="n">
        <f aca="false">MarYTD!M23-FebYTD!M23</f>
        <v>0</v>
      </c>
      <c r="N23" s="62" t="n">
        <f aca="false">M23+L23</f>
        <v>33</v>
      </c>
      <c r="O23" s="62" t="n">
        <f aca="false">MarYTD!O23-FebYTD!O23</f>
        <v>18317</v>
      </c>
      <c r="P23" s="62" t="n">
        <f aca="false">MarYTD!P23-FebYTD!P23</f>
        <v>49</v>
      </c>
      <c r="R23" s="62" t="n">
        <f aca="false">MarYTD!R23-FebYTD!R23</f>
        <v>0</v>
      </c>
    </row>
    <row r="24" customFormat="false" ht="12.75" hidden="false" customHeight="true" outlineLevel="4" collapsed="false">
      <c r="A24" s="57" t="s">
        <v>60</v>
      </c>
      <c r="B24" s="58" t="n">
        <f aca="false">D24+R24</f>
        <v>119</v>
      </c>
      <c r="C24" s="58"/>
      <c r="D24" s="62" t="n">
        <f aca="false">SUM(E24:M24)+O24+P24</f>
        <v>119</v>
      </c>
      <c r="E24" s="62" t="n">
        <f aca="false">MarYTD!E24-FebYTD!E24</f>
        <v>10</v>
      </c>
      <c r="F24" s="62" t="n">
        <f aca="false">MarYTD!F24-FebYTD!F24</f>
        <v>109</v>
      </c>
      <c r="G24" s="62" t="n">
        <f aca="false">MarYTD!G24-FebYTD!G24</f>
        <v>0</v>
      </c>
      <c r="H24" s="62" t="n">
        <f aca="false">MarYTD!H24-FebYTD!H24</f>
        <v>0</v>
      </c>
      <c r="I24" s="62" t="n">
        <f aca="false">MarYTD!I24-FebYTD!I24</f>
        <v>0</v>
      </c>
      <c r="J24" s="62" t="n">
        <f aca="false">MarYTD!J24-FebYTD!J24</f>
        <v>0</v>
      </c>
      <c r="K24" s="62" t="n">
        <f aca="false">MarYTD!K24-FebYTD!K24</f>
        <v>0</v>
      </c>
      <c r="L24" s="62" t="n">
        <f aca="false">MarYTD!L24-FebYTD!L24</f>
        <v>0</v>
      </c>
      <c r="M24" s="62" t="n">
        <f aca="false">MarYTD!M24-FebYTD!M24</f>
        <v>0</v>
      </c>
      <c r="N24" s="62" t="n">
        <f aca="false">M24+L24</f>
        <v>0</v>
      </c>
      <c r="O24" s="62" t="n">
        <f aca="false">MarYTD!O24-FebYTD!O24</f>
        <v>0</v>
      </c>
      <c r="P24" s="62" t="n">
        <f aca="false">MarYTD!P24-FebYTD!P24</f>
        <v>0</v>
      </c>
      <c r="R24" s="62" t="n">
        <f aca="false">MarYTD!R24-FebYTD!R24</f>
        <v>0</v>
      </c>
    </row>
    <row r="25" customFormat="false" ht="12.75" hidden="false" customHeight="true" outlineLevel="4" collapsed="false">
      <c r="A25" s="57" t="s">
        <v>61</v>
      </c>
      <c r="B25" s="58" t="n">
        <f aca="false">D25+R25</f>
        <v>1022</v>
      </c>
      <c r="C25" s="58"/>
      <c r="D25" s="62" t="n">
        <f aca="false">SUM(E25:M25)+O25+P25</f>
        <v>1022</v>
      </c>
      <c r="E25" s="62" t="n">
        <f aca="false">MarYTD!E25-FebYTD!E25</f>
        <v>893</v>
      </c>
      <c r="F25" s="62" t="n">
        <f aca="false">MarYTD!F25-FebYTD!F25</f>
        <v>129</v>
      </c>
      <c r="G25" s="62" t="n">
        <f aca="false">MarYTD!G25-FebYTD!G25</f>
        <v>0</v>
      </c>
      <c r="H25" s="62" t="n">
        <f aca="false">MarYTD!H25-FebYTD!H25</f>
        <v>0</v>
      </c>
      <c r="I25" s="62" t="n">
        <f aca="false">MarYTD!I25-FebYTD!I25</f>
        <v>0</v>
      </c>
      <c r="J25" s="62" t="n">
        <f aca="false">MarYTD!J25-FebYTD!J25</f>
        <v>0</v>
      </c>
      <c r="K25" s="62" t="n">
        <f aca="false">MarYTD!K25-FebYTD!K25</f>
        <v>0</v>
      </c>
      <c r="L25" s="62" t="n">
        <f aca="false">MarYTD!L25-FebYTD!L25</f>
        <v>0</v>
      </c>
      <c r="M25" s="62" t="n">
        <f aca="false">MarYTD!M25-FebYTD!M25</f>
        <v>0</v>
      </c>
      <c r="N25" s="62" t="n">
        <f aca="false">M25+L25</f>
        <v>0</v>
      </c>
      <c r="O25" s="62" t="n">
        <f aca="false">MarYTD!O25-FebYTD!O25</f>
        <v>0</v>
      </c>
      <c r="P25" s="62" t="n">
        <f aca="false">MarYTD!P25-FebYTD!P25</f>
        <v>0</v>
      </c>
      <c r="R25" s="62" t="n">
        <f aca="false">MarYTD!R25-FebYTD!R25</f>
        <v>0</v>
      </c>
    </row>
    <row r="26" customFormat="false" ht="12.75" hidden="false" customHeight="true" outlineLevel="4" collapsed="false">
      <c r="A26" s="57" t="s">
        <v>62</v>
      </c>
      <c r="B26" s="58" t="n">
        <f aca="false">D26+R26</f>
        <v>-8199</v>
      </c>
      <c r="C26" s="58"/>
      <c r="D26" s="62" t="n">
        <f aca="false">SUM(E26:M26)+O26+P26</f>
        <v>-8204</v>
      </c>
      <c r="E26" s="62" t="n">
        <f aca="false">MarYTD!E26-FebYTD!E26</f>
        <v>-8045</v>
      </c>
      <c r="F26" s="62" t="n">
        <f aca="false">MarYTD!F26-FebYTD!F26</f>
        <v>500</v>
      </c>
      <c r="G26" s="62" t="n">
        <f aca="false">MarYTD!G26-FebYTD!G26</f>
        <v>0</v>
      </c>
      <c r="H26" s="62" t="n">
        <f aca="false">MarYTD!H26-FebYTD!H26</f>
        <v>-763</v>
      </c>
      <c r="I26" s="62" t="n">
        <f aca="false">MarYTD!I26-FebYTD!I26</f>
        <v>0</v>
      </c>
      <c r="J26" s="62" t="n">
        <f aca="false">MarYTD!J26-FebYTD!J26</f>
        <v>1230</v>
      </c>
      <c r="K26" s="62" t="n">
        <f aca="false">MarYTD!K26-FebYTD!K26</f>
        <v>1</v>
      </c>
      <c r="L26" s="62" t="n">
        <f aca="false">MarYTD!L26-FebYTD!L26</f>
        <v>-74</v>
      </c>
      <c r="M26" s="62" t="n">
        <f aca="false">MarYTD!M26-FebYTD!M26</f>
        <v>0</v>
      </c>
      <c r="N26" s="62" t="n">
        <f aca="false">M26+L26</f>
        <v>-74</v>
      </c>
      <c r="O26" s="62" t="n">
        <f aca="false">MarYTD!O26-FebYTD!O26</f>
        <v>-1075</v>
      </c>
      <c r="P26" s="62" t="n">
        <f aca="false">MarYTD!P26-FebYTD!P26</f>
        <v>22</v>
      </c>
      <c r="R26" s="62" t="n">
        <f aca="false">MarYTD!R26-FebYTD!R26</f>
        <v>5</v>
      </c>
    </row>
    <row r="27" customFormat="false" ht="12.75" hidden="false" customHeight="true" outlineLevel="4" collapsed="false">
      <c r="A27" s="57" t="s">
        <v>104</v>
      </c>
      <c r="B27" s="58" t="n">
        <f aca="false">D27+R27</f>
        <v>-915</v>
      </c>
      <c r="C27" s="58"/>
      <c r="D27" s="62" t="n">
        <f aca="false">SUM(E27:M27)+O27+P27</f>
        <v>-915</v>
      </c>
      <c r="E27" s="62" t="n">
        <f aca="false">MarYTD!E27-FebYTD!E27</f>
        <v>-510</v>
      </c>
      <c r="F27" s="62" t="n">
        <f aca="false">MarYTD!F27-FebYTD!F27</f>
        <v>-405</v>
      </c>
      <c r="G27" s="62" t="n">
        <f aca="false">MarYTD!G27-FebYTD!G27</f>
        <v>0</v>
      </c>
      <c r="H27" s="62" t="n">
        <f aca="false">MarYTD!H27-FebYTD!H27</f>
        <v>0</v>
      </c>
      <c r="I27" s="62" t="n">
        <f aca="false">MarYTD!I27-FebYTD!I27</f>
        <v>0</v>
      </c>
      <c r="J27" s="62" t="n">
        <f aca="false">MarYTD!J27-FebYTD!J27</f>
        <v>0</v>
      </c>
      <c r="K27" s="62" t="n">
        <f aca="false">MarYTD!K27-FebYTD!K27</f>
        <v>0</v>
      </c>
      <c r="L27" s="62" t="n">
        <f aca="false">MarYTD!L27-FebYTD!L27</f>
        <v>0</v>
      </c>
      <c r="M27" s="62" t="n">
        <f aca="false">MarYTD!M27-FebYTD!M27</f>
        <v>0</v>
      </c>
      <c r="N27" s="62" t="n">
        <f aca="false">M27+L27</f>
        <v>0</v>
      </c>
      <c r="O27" s="62" t="n">
        <f aca="false">MarYTD!O27-FebYTD!O27</f>
        <v>0</v>
      </c>
      <c r="P27" s="62" t="n">
        <f aca="false">MarYTD!P27-FebYTD!P27</f>
        <v>0</v>
      </c>
      <c r="R27" s="62" t="n">
        <f aca="false">MarYTD!R27-FebYTD!R27</f>
        <v>0</v>
      </c>
    </row>
    <row r="28" customFormat="false" ht="12.75" hidden="false" customHeight="true" outlineLevel="4" collapsed="false">
      <c r="A28" s="57" t="s">
        <v>64</v>
      </c>
      <c r="B28" s="58" t="n">
        <f aca="false">D28+R28</f>
        <v>-2290</v>
      </c>
      <c r="C28" s="58"/>
      <c r="D28" s="62" t="n">
        <f aca="false">SUM(E28:M28)+O28+P28</f>
        <v>-2328</v>
      </c>
      <c r="E28" s="62" t="n">
        <f aca="false">MarYTD!E28-FebYTD!E28</f>
        <v>-353</v>
      </c>
      <c r="F28" s="62" t="n">
        <f aca="false">MarYTD!F28-FebYTD!F28</f>
        <v>764</v>
      </c>
      <c r="G28" s="62" t="n">
        <f aca="false">MarYTD!G28-FebYTD!G28</f>
        <v>0</v>
      </c>
      <c r="H28" s="62" t="n">
        <f aca="false">MarYTD!H28-FebYTD!H28</f>
        <v>-4</v>
      </c>
      <c r="I28" s="62" t="n">
        <f aca="false">MarYTD!I28-FebYTD!I28</f>
        <v>0</v>
      </c>
      <c r="J28" s="62" t="n">
        <f aca="false">MarYTD!J28-FebYTD!J28</f>
        <v>0</v>
      </c>
      <c r="K28" s="62" t="n">
        <f aca="false">MarYTD!K28-FebYTD!K28</f>
        <v>-1</v>
      </c>
      <c r="L28" s="62" t="n">
        <f aca="false">MarYTD!L28-FebYTD!L28</f>
        <v>0</v>
      </c>
      <c r="M28" s="62" t="n">
        <f aca="false">MarYTD!M28-FebYTD!M28</f>
        <v>-2734</v>
      </c>
      <c r="N28" s="62" t="n">
        <f aca="false">M28+L28</f>
        <v>-2734</v>
      </c>
      <c r="O28" s="62" t="n">
        <f aca="false">MarYTD!O28-FebYTD!O28</f>
        <v>0</v>
      </c>
      <c r="P28" s="62" t="n">
        <f aca="false">MarYTD!P28-FebYTD!P28</f>
        <v>0</v>
      </c>
      <c r="R28" s="62" t="n">
        <f aca="false">MarYTD!R28-FebYTD!R28</f>
        <v>38</v>
      </c>
    </row>
    <row r="29" customFormat="false" ht="12.75" hidden="false" customHeight="true" outlineLevel="4" collapsed="false">
      <c r="A29" s="57" t="s">
        <v>65</v>
      </c>
      <c r="B29" s="58" t="n">
        <f aca="false">D29+R29</f>
        <v>-1865</v>
      </c>
      <c r="C29" s="58"/>
      <c r="D29" s="62" t="n">
        <f aca="false">SUM(E29:M29)+O29+P29</f>
        <v>-1865</v>
      </c>
      <c r="E29" s="62" t="n">
        <f aca="false">MarYTD!E29-FebYTD!E29</f>
        <v>-2187</v>
      </c>
      <c r="F29" s="62" t="n">
        <f aca="false">MarYTD!F29-FebYTD!F29</f>
        <v>322</v>
      </c>
      <c r="G29" s="62" t="n">
        <f aca="false">MarYTD!G29-FebYTD!G29</f>
        <v>0</v>
      </c>
      <c r="H29" s="62" t="n">
        <f aca="false">MarYTD!H29-FebYTD!H29</f>
        <v>0</v>
      </c>
      <c r="I29" s="62" t="n">
        <f aca="false">MarYTD!I29-FebYTD!I29</f>
        <v>0</v>
      </c>
      <c r="J29" s="62" t="n">
        <f aca="false">MarYTD!J29-FebYTD!J29</f>
        <v>0</v>
      </c>
      <c r="K29" s="62" t="n">
        <f aca="false">MarYTD!K29-FebYTD!K29</f>
        <v>0</v>
      </c>
      <c r="L29" s="62" t="n">
        <f aca="false">MarYTD!L29-FebYTD!L29</f>
        <v>0</v>
      </c>
      <c r="M29" s="62" t="n">
        <f aca="false">MarYTD!M29-FebYTD!M29</f>
        <v>0</v>
      </c>
      <c r="N29" s="62" t="n">
        <f aca="false">M29+L29</f>
        <v>0</v>
      </c>
      <c r="O29" s="62" t="n">
        <f aca="false">MarYTD!O29-FebYTD!O29</f>
        <v>0</v>
      </c>
      <c r="P29" s="62" t="n">
        <f aca="false">MarYTD!P29-FebYTD!P29</f>
        <v>0</v>
      </c>
      <c r="R29" s="40" t="n">
        <f aca="false">[17]JAN_YTD!$H$32</f>
        <v>0</v>
      </c>
    </row>
    <row r="30" customFormat="false" ht="12.75" hidden="false" customHeight="true" outlineLevel="4" collapsed="false">
      <c r="A30" s="57" t="s">
        <v>66</v>
      </c>
      <c r="B30" s="63" t="n">
        <f aca="false">D30+R30</f>
        <v>-1737</v>
      </c>
      <c r="C30" s="58"/>
      <c r="D30" s="62" t="n">
        <f aca="false">SUM(E30:M30)+O30+P30</f>
        <v>-1737</v>
      </c>
      <c r="E30" s="62" t="n">
        <f aca="false">MarYTD!E30-FebYTD!E30</f>
        <v>-2328</v>
      </c>
      <c r="F30" s="62" t="n">
        <f aca="false">MarYTD!F30-FebYTD!F30</f>
        <v>229</v>
      </c>
      <c r="G30" s="62" t="n">
        <f aca="false">MarYTD!G30-FebYTD!G30</f>
        <v>0</v>
      </c>
      <c r="H30" s="62" t="n">
        <f aca="false">MarYTD!H30-FebYTD!H30</f>
        <v>123</v>
      </c>
      <c r="I30" s="62" t="n">
        <f aca="false">MarYTD!I30-FebYTD!I30</f>
        <v>0</v>
      </c>
      <c r="J30" s="62" t="n">
        <f aca="false">MarYTD!J30-FebYTD!J30</f>
        <v>0</v>
      </c>
      <c r="K30" s="62" t="n">
        <f aca="false">MarYTD!K30-FebYTD!K30</f>
        <v>0</v>
      </c>
      <c r="L30" s="62" t="n">
        <f aca="false">MarYTD!L30-FebYTD!L30</f>
        <v>3</v>
      </c>
      <c r="M30" s="62" t="n">
        <f aca="false">MarYTD!M30-FebYTD!M30</f>
        <v>0</v>
      </c>
      <c r="N30" s="62" t="n">
        <f aca="false">M30+L30</f>
        <v>3</v>
      </c>
      <c r="O30" s="62" t="n">
        <f aca="false">MarYTD!O30-FebYTD!O30</f>
        <v>236</v>
      </c>
      <c r="P30" s="62" t="n">
        <f aca="false">MarYTD!P30-FebYTD!P30</f>
        <v>0</v>
      </c>
      <c r="R30" s="62" t="n">
        <f aca="false">MarYTD!R30-FebYTD!R30</f>
        <v>0</v>
      </c>
    </row>
    <row r="31" customFormat="false" ht="12.75" hidden="false" customHeight="true" outlineLevel="4" collapsed="false">
      <c r="A31" s="57" t="s">
        <v>67</v>
      </c>
      <c r="B31" s="67" t="n">
        <f aca="false">SUM(B21:B30)</f>
        <v>-3151</v>
      </c>
      <c r="C31" s="68"/>
      <c r="D31" s="67" t="n">
        <f aca="false">SUM(D21:D30)</f>
        <v>-3025</v>
      </c>
      <c r="E31" s="67" t="n">
        <f aca="false">SUM(E21:E30)</f>
        <v>-17579</v>
      </c>
      <c r="F31" s="67" t="n">
        <f aca="false">SUM(F21:F30)</f>
        <v>-3787</v>
      </c>
      <c r="G31" s="67" t="n">
        <f aca="false">SUM(G21:G30)</f>
        <v>0</v>
      </c>
      <c r="H31" s="67" t="n">
        <f aca="false">SUM(H21:H30)</f>
        <v>-665</v>
      </c>
      <c r="I31" s="67" t="n">
        <f aca="false">SUM(I21:I30)</f>
        <v>0</v>
      </c>
      <c r="J31" s="67" t="n">
        <f aca="false">SUM(J21:J30)</f>
        <v>1922</v>
      </c>
      <c r="K31" s="67" t="n">
        <f aca="false">SUM(K21:K30)</f>
        <v>-90</v>
      </c>
      <c r="L31" s="67" t="n">
        <f aca="false">SUM(L21:L30)</f>
        <v>-6</v>
      </c>
      <c r="M31" s="67" t="n">
        <f aca="false">SUM(M21:M30)</f>
        <v>-2734</v>
      </c>
      <c r="N31" s="67" t="n">
        <f aca="false">SUM(N21:N30)</f>
        <v>-2740</v>
      </c>
      <c r="O31" s="67" t="n">
        <f aca="false">SUM(O21:O30)</f>
        <v>19887</v>
      </c>
      <c r="P31" s="67" t="n">
        <f aca="false">SUM(P21:P30)</f>
        <v>27</v>
      </c>
      <c r="R31" s="67" t="n">
        <f aca="false">SUM(R21:R30)</f>
        <v>-126</v>
      </c>
    </row>
    <row r="32" customFormat="false" ht="12.75" hidden="false" customHeight="true" outlineLevel="4" collapsed="false">
      <c r="A32" s="57"/>
      <c r="B32" s="69"/>
      <c r="C32" s="68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42"/>
      <c r="R32" s="69"/>
    </row>
    <row r="33" customFormat="false" ht="12.75" hidden="false" customHeight="true" outlineLevel="3" collapsed="false">
      <c r="A33" s="57" t="s">
        <v>68</v>
      </c>
      <c r="B33" s="70" t="n">
        <f aca="false">B19+B31</f>
        <v>14652.122</v>
      </c>
      <c r="C33" s="58"/>
      <c r="D33" s="70" t="n">
        <f aca="false">D19+D31</f>
        <v>14327.659</v>
      </c>
      <c r="E33" s="70" t="n">
        <f aca="false">E19+E31</f>
        <v>3600.43000000002</v>
      </c>
      <c r="F33" s="70" t="n">
        <f aca="false">F19+F31</f>
        <v>2625.337</v>
      </c>
      <c r="G33" s="70" t="n">
        <f aca="false">G19+G31</f>
        <v>0</v>
      </c>
      <c r="H33" s="70" t="n">
        <f aca="false">H19+H31</f>
        <v>-542.141</v>
      </c>
      <c r="I33" s="70" t="n">
        <f aca="false">I19+I31</f>
        <v>0.713999999999997</v>
      </c>
      <c r="J33" s="70" t="n">
        <f aca="false">J19+J31</f>
        <v>1635.267</v>
      </c>
      <c r="K33" s="70" t="n">
        <f aca="false">K19+K31</f>
        <v>-67.704</v>
      </c>
      <c r="L33" s="70" t="n">
        <f aca="false">L19+L31</f>
        <v>-9.373</v>
      </c>
      <c r="M33" s="70" t="n">
        <f aca="false">M19+M31</f>
        <v>-19480</v>
      </c>
      <c r="N33" s="70" t="n">
        <f aca="false">N19+N31</f>
        <v>-19489.373</v>
      </c>
      <c r="O33" s="70" t="n">
        <f aca="false">O19+O31</f>
        <v>26506.13</v>
      </c>
      <c r="P33" s="70" t="n">
        <f aca="false">P19+P31</f>
        <v>58.999</v>
      </c>
      <c r="R33" s="70" t="n">
        <f aca="false">R19+R31</f>
        <v>324.463</v>
      </c>
    </row>
    <row r="34" customFormat="false" ht="12.75" hidden="false" customHeight="true" outlineLevel="3" collapsed="false">
      <c r="B34" s="58"/>
      <c r="C34" s="58"/>
    </row>
    <row r="35" customFormat="false" ht="12.75" hidden="false" customHeight="true" outlineLevel="3" collapsed="false">
      <c r="A35" s="61" t="s">
        <v>69</v>
      </c>
      <c r="B35" s="58"/>
      <c r="C35" s="58"/>
    </row>
    <row r="36" customFormat="false" ht="12.75" hidden="false" customHeight="true" outlineLevel="4" collapsed="false">
      <c r="A36" s="57" t="s">
        <v>70</v>
      </c>
      <c r="B36" s="58" t="n">
        <f aca="false">D36+R36</f>
        <v>5200</v>
      </c>
      <c r="C36" s="58"/>
      <c r="D36" s="62" t="n">
        <f aca="false">SUM(E36:M36)+O36+P36</f>
        <v>5200</v>
      </c>
      <c r="E36" s="62" t="n">
        <f aca="false">MarYTD!E36-FebYTD!E36</f>
        <v>5200</v>
      </c>
      <c r="F36" s="62" t="n">
        <f aca="false">MarYTD!F36-FebYTD!F36</f>
        <v>0</v>
      </c>
      <c r="G36" s="62" t="n">
        <f aca="false">MarYTD!G36-FebYTD!G36</f>
        <v>0</v>
      </c>
      <c r="H36" s="62" t="n">
        <f aca="false">MarYTD!H36-FebYTD!H36</f>
        <v>0</v>
      </c>
      <c r="I36" s="62" t="n">
        <f aca="false">MarYTD!I36-FebYTD!I36</f>
        <v>0</v>
      </c>
      <c r="J36" s="62" t="n">
        <f aca="false">MarYTD!J36-FebYTD!J36</f>
        <v>0</v>
      </c>
      <c r="K36" s="62" t="n">
        <f aca="false">MarYTD!K36-FebYTD!K36</f>
        <v>0</v>
      </c>
      <c r="L36" s="62" t="n">
        <f aca="false">MarYTD!L36-FebYTD!L36</f>
        <v>0</v>
      </c>
      <c r="M36" s="62" t="n">
        <f aca="false">MarYTD!M36-FebYTD!M36</f>
        <v>0</v>
      </c>
      <c r="N36" s="76"/>
      <c r="O36" s="62" t="n">
        <f aca="false">MarYTD!O36-FebYTD!O36</f>
        <v>0</v>
      </c>
      <c r="P36" s="62" t="n">
        <f aca="false">MarYTD!P36-FebYTD!P36</f>
        <v>0</v>
      </c>
    </row>
    <row r="37" customFormat="false" ht="12.75" hidden="false" customHeight="true" outlineLevel="4" collapsed="false">
      <c r="A37" s="57" t="s">
        <v>71</v>
      </c>
      <c r="B37" s="58" t="n">
        <f aca="false">D37+R37</f>
        <v>-6059</v>
      </c>
      <c r="C37" s="58"/>
      <c r="D37" s="62" t="n">
        <f aca="false">SUM(E37:M37)+O37+P37</f>
        <v>-6059</v>
      </c>
      <c r="E37" s="62" t="n">
        <f aca="false">MarYTD!E37-FebYTD!E37</f>
        <v>-3899</v>
      </c>
      <c r="F37" s="62" t="n">
        <f aca="false">MarYTD!F37-FebYTD!F37</f>
        <v>-2160</v>
      </c>
      <c r="G37" s="62" t="n">
        <f aca="false">MarYTD!G37-FebYTD!G37</f>
        <v>0</v>
      </c>
      <c r="H37" s="62" t="n">
        <f aca="false">MarYTD!H37-FebYTD!H37</f>
        <v>0</v>
      </c>
      <c r="I37" s="62" t="n">
        <f aca="false">MarYTD!I37-FebYTD!I37</f>
        <v>0</v>
      </c>
      <c r="J37" s="62" t="n">
        <f aca="false">MarYTD!J37-FebYTD!J37</f>
        <v>0</v>
      </c>
      <c r="K37" s="62" t="n">
        <f aca="false">MarYTD!K37-FebYTD!K37</f>
        <v>0</v>
      </c>
      <c r="L37" s="62" t="n">
        <f aca="false">MarYTD!L37-FebYTD!L37</f>
        <v>0</v>
      </c>
      <c r="M37" s="62" t="n">
        <f aca="false">MarYTD!M37-FebYTD!M37</f>
        <v>0</v>
      </c>
      <c r="N37" s="62" t="n">
        <f aca="false">M37+L37</f>
        <v>0</v>
      </c>
      <c r="O37" s="62" t="n">
        <f aca="false">MarYTD!O37-FebYTD!O37</f>
        <v>0</v>
      </c>
      <c r="P37" s="62" t="n">
        <f aca="false">MarYTD!P37-FebYTD!P37</f>
        <v>0</v>
      </c>
    </row>
    <row r="38" customFormat="false" ht="12.75" hidden="false" customHeight="true" outlineLevel="4" collapsed="false">
      <c r="A38" s="57" t="s">
        <v>105</v>
      </c>
      <c r="B38" s="58" t="n">
        <f aca="false">D38+R38</f>
        <v>3548</v>
      </c>
      <c r="C38" s="58"/>
      <c r="D38" s="62" t="n">
        <f aca="false">SUM(E38:M38)+O38+P38</f>
        <v>3548</v>
      </c>
      <c r="E38" s="62" t="n">
        <f aca="false">MarYTD!E38-FebYTD!E38</f>
        <v>3705</v>
      </c>
      <c r="F38" s="62" t="n">
        <f aca="false">MarYTD!F38-FebYTD!F38</f>
        <v>-157</v>
      </c>
      <c r="G38" s="62" t="n">
        <f aca="false">MarYTD!G38-FebYTD!G38</f>
        <v>0</v>
      </c>
      <c r="H38" s="62" t="n">
        <f aca="false">MarYTD!H38-FebYTD!H38</f>
        <v>0</v>
      </c>
      <c r="I38" s="62" t="n">
        <f aca="false">MarYTD!I38-FebYTD!I38</f>
        <v>0</v>
      </c>
      <c r="J38" s="62" t="n">
        <f aca="false">MarYTD!J38-FebYTD!J38</f>
        <v>0</v>
      </c>
      <c r="K38" s="62" t="n">
        <f aca="false">MarYTD!K38-FebYTD!K38</f>
        <v>0</v>
      </c>
      <c r="L38" s="62" t="n">
        <f aca="false">MarYTD!L38-FebYTD!L38</f>
        <v>0</v>
      </c>
      <c r="M38" s="62" t="n">
        <f aca="false">MarYTD!M38-FebYTD!M38</f>
        <v>0</v>
      </c>
      <c r="N38" s="62" t="n">
        <f aca="false">M38+L38</f>
        <v>0</v>
      </c>
      <c r="O38" s="62" t="n">
        <f aca="false">MarYTD!O38-FebYTD!O38</f>
        <v>0</v>
      </c>
      <c r="P38" s="62" t="n">
        <f aca="false">MarYTD!P38-FebYTD!P38</f>
        <v>0</v>
      </c>
    </row>
    <row r="39" customFormat="false" ht="12.75" hidden="false" customHeight="true" outlineLevel="4" collapsed="false">
      <c r="A39" s="57" t="s">
        <v>120</v>
      </c>
      <c r="B39" s="58" t="n">
        <f aca="false">D39+R39</f>
        <v>-12700</v>
      </c>
      <c r="C39" s="58"/>
      <c r="D39" s="62" t="n">
        <f aca="false">SUM(E39:P39)</f>
        <v>0</v>
      </c>
      <c r="E39" s="62" t="n">
        <f aca="false">MarYTD!E39-FebYTD!E39</f>
        <v>0</v>
      </c>
      <c r="F39" s="62" t="n">
        <f aca="false">MarYTD!F39-FebYTD!F39</f>
        <v>0</v>
      </c>
      <c r="G39" s="62" t="n">
        <f aca="false">MarYTD!G39-FebYTD!G39</f>
        <v>0</v>
      </c>
      <c r="H39" s="62" t="n">
        <f aca="false">MarYTD!H39-FebYTD!H39</f>
        <v>0</v>
      </c>
      <c r="I39" s="62" t="n">
        <f aca="false">MarYTD!I39-FebYTD!I39</f>
        <v>0</v>
      </c>
      <c r="J39" s="62" t="n">
        <f aca="false">MarYTD!J39-FebYTD!J39</f>
        <v>0</v>
      </c>
      <c r="K39" s="62" t="n">
        <f aca="false">MarYTD!K39-FebYTD!K39</f>
        <v>0</v>
      </c>
      <c r="L39" s="62" t="n">
        <f aca="false">MarYTD!L39-FebYTD!L39</f>
        <v>0</v>
      </c>
      <c r="M39" s="62" t="n">
        <f aca="false">MarYTD!M39-FebYTD!M39</f>
        <v>0</v>
      </c>
      <c r="N39" s="62" t="n">
        <f aca="false">M39+L39</f>
        <v>0</v>
      </c>
      <c r="O39" s="62" t="n">
        <f aca="false">MarYTD!O39-FebYTD!O39</f>
        <v>0</v>
      </c>
      <c r="P39" s="62" t="n">
        <f aca="false">MarYTD!P39-FebYTD!P39</f>
        <v>0</v>
      </c>
      <c r="R39" s="62" t="n">
        <f aca="false">MarYTD!R39-FebYTD!R39</f>
        <v>-12700</v>
      </c>
    </row>
    <row r="40" customFormat="false" ht="12.75" hidden="false" customHeight="true" outlineLevel="4" collapsed="false">
      <c r="A40" s="57" t="s">
        <v>121</v>
      </c>
      <c r="B40" s="58" t="e">
        <f aca="false">D40+R40</f>
        <v>#REF!</v>
      </c>
      <c r="C40" s="58"/>
      <c r="D40" s="62"/>
      <c r="E40" s="62" t="e">
        <f aca="false">#REF!-FebYTD!E40</f>
        <v>#REF!</v>
      </c>
      <c r="F40" s="62" t="e">
        <f aca="false">#REF!-FebYTD!F40</f>
        <v>#REF!</v>
      </c>
      <c r="G40" s="62" t="e">
        <f aca="false">#REF!-FebYTD!G40</f>
        <v>#REF!</v>
      </c>
      <c r="H40" s="62" t="e">
        <f aca="false">#REF!-FebYTD!H40</f>
        <v>#REF!</v>
      </c>
      <c r="I40" s="62" t="e">
        <f aca="false">#REF!-FebYTD!I40</f>
        <v>#REF!</v>
      </c>
      <c r="J40" s="62" t="e">
        <f aca="false">#REF!-FebYTD!J40</f>
        <v>#REF!</v>
      </c>
      <c r="K40" s="62" t="e">
        <f aca="false">#REF!-FebYTD!K40</f>
        <v>#REF!</v>
      </c>
      <c r="L40" s="62" t="e">
        <f aca="false">#REF!-FebYTD!L40</f>
        <v>#REF!</v>
      </c>
      <c r="M40" s="62" t="e">
        <f aca="false">#REF!-FebYTD!M40</f>
        <v>#REF!</v>
      </c>
      <c r="N40" s="62" t="e">
        <f aca="false">M40+L40</f>
        <v>#REF!</v>
      </c>
      <c r="O40" s="62" t="e">
        <f aca="false">#REF!-FebYTD!O40</f>
        <v>#REF!</v>
      </c>
      <c r="P40" s="62" t="e">
        <f aca="false">#REF!-FebYTD!P40</f>
        <v>#REF!</v>
      </c>
      <c r="R40" s="62" t="e">
        <f aca="false">#REF!-FebYTD!R40</f>
        <v>#REF!</v>
      </c>
    </row>
    <row r="41" customFormat="false" ht="12.75" hidden="false" customHeight="true" outlineLevel="4" collapsed="false">
      <c r="A41" s="57" t="s">
        <v>76</v>
      </c>
      <c r="B41" s="58" t="n">
        <f aca="false">D41+R41</f>
        <v>0</v>
      </c>
      <c r="C41" s="58"/>
      <c r="D41" s="62" t="n">
        <f aca="false">SUM(E41:P41)</f>
        <v>0</v>
      </c>
      <c r="E41" s="62" t="n">
        <f aca="false">MarYTD!E40-FebYTD!E41</f>
        <v>0</v>
      </c>
      <c r="F41" s="62" t="n">
        <f aca="false">MarYTD!F40-FebYTD!F41</f>
        <v>0</v>
      </c>
      <c r="G41" s="62" t="n">
        <f aca="false">MarYTD!G40-FebYTD!G41</f>
        <v>0</v>
      </c>
      <c r="H41" s="62" t="n">
        <f aca="false">MarYTD!H40-FebYTD!H41</f>
        <v>0</v>
      </c>
      <c r="I41" s="62" t="n">
        <f aca="false">MarYTD!I40-FebYTD!I41</f>
        <v>0</v>
      </c>
      <c r="J41" s="62" t="n">
        <f aca="false">MarYTD!J40-FebYTD!J41</f>
        <v>0</v>
      </c>
      <c r="K41" s="62" t="n">
        <f aca="false">MarYTD!K40-FebYTD!K41</f>
        <v>0</v>
      </c>
      <c r="L41" s="62" t="n">
        <f aca="false">MarYTD!L40-FebYTD!L41</f>
        <v>0</v>
      </c>
      <c r="M41" s="62" t="n">
        <f aca="false">MarYTD!M40-FebYTD!M41</f>
        <v>0</v>
      </c>
      <c r="N41" s="62" t="n">
        <f aca="false">M41+L41</f>
        <v>0</v>
      </c>
      <c r="O41" s="62" t="n">
        <f aca="false">MarYTD!O40-FebYTD!O41</f>
        <v>0</v>
      </c>
      <c r="P41" s="62" t="n">
        <f aca="false">MarYTD!P40-FebYTD!P41</f>
        <v>0</v>
      </c>
      <c r="R41" s="62" t="n">
        <f aca="false">MarYTD!R40-FebYTD!R41</f>
        <v>0</v>
      </c>
    </row>
    <row r="42" customFormat="false" ht="12.75" hidden="false" customHeight="true" outlineLevel="4" collapsed="false">
      <c r="A42" s="57" t="s">
        <v>77</v>
      </c>
      <c r="B42" s="63" t="n">
        <f aca="false">D42+R42</f>
        <v>14</v>
      </c>
      <c r="C42" s="58"/>
      <c r="D42" s="64" t="n">
        <f aca="false">SUM(E42:M42)+O42+P42</f>
        <v>14</v>
      </c>
      <c r="E42" s="64" t="n">
        <f aca="false">MarYTD!E41-FebYTD!E42</f>
        <v>14</v>
      </c>
      <c r="F42" s="64" t="n">
        <f aca="false">MarYTD!F41-FebYTD!F42</f>
        <v>0</v>
      </c>
      <c r="G42" s="64" t="n">
        <f aca="false">MarYTD!G41-FebYTD!G42</f>
        <v>0</v>
      </c>
      <c r="H42" s="64" t="n">
        <f aca="false">MarYTD!H41-FebYTD!H42</f>
        <v>0</v>
      </c>
      <c r="I42" s="64" t="n">
        <f aca="false">MarYTD!I41-FebYTD!I42</f>
        <v>0</v>
      </c>
      <c r="J42" s="64" t="n">
        <f aca="false">MarYTD!J41-FebYTD!J42</f>
        <v>0</v>
      </c>
      <c r="K42" s="64" t="n">
        <f aca="false">MarYTD!K41-FebYTD!K42</f>
        <v>0</v>
      </c>
      <c r="L42" s="64" t="n">
        <f aca="false">MarYTD!L41-FebYTD!L42</f>
        <v>0</v>
      </c>
      <c r="M42" s="64" t="n">
        <f aca="false">MarYTD!M41-FebYTD!M42</f>
        <v>0</v>
      </c>
      <c r="N42" s="64" t="n">
        <f aca="false">M42+L42</f>
        <v>0</v>
      </c>
      <c r="O42" s="64" t="n">
        <f aca="false">MarYTD!O41-FebYTD!O42</f>
        <v>0</v>
      </c>
      <c r="P42" s="64" t="n">
        <f aca="false">MarYTD!P41-FebYTD!P42</f>
        <v>0</v>
      </c>
      <c r="R42" s="50"/>
    </row>
    <row r="43" customFormat="false" ht="12.75" hidden="false" customHeight="true" outlineLevel="3" collapsed="false">
      <c r="A43" s="57" t="s">
        <v>78</v>
      </c>
      <c r="B43" s="70" t="e">
        <f aca="false">SUM(B36:B42)</f>
        <v>#REF!</v>
      </c>
      <c r="C43" s="71" t="n">
        <f aca="false">SUM(C36:C42)</f>
        <v>0</v>
      </c>
      <c r="D43" s="70" t="n">
        <f aca="false">SUM(D36:D42)</f>
        <v>2703</v>
      </c>
      <c r="E43" s="70" t="e">
        <f aca="false">SUM(E36:E42)</f>
        <v>#REF!</v>
      </c>
      <c r="F43" s="70" t="e">
        <f aca="false">SUM(F36:F42)</f>
        <v>#REF!</v>
      </c>
      <c r="G43" s="70" t="e">
        <f aca="false">SUM(G36:G42)</f>
        <v>#REF!</v>
      </c>
      <c r="H43" s="70" t="e">
        <f aca="false">SUM(H36:H42)</f>
        <v>#REF!</v>
      </c>
      <c r="I43" s="70" t="e">
        <f aca="false">SUM(I36:I42)</f>
        <v>#REF!</v>
      </c>
      <c r="J43" s="70" t="e">
        <f aca="false">SUM(J36:J42)</f>
        <v>#REF!</v>
      </c>
      <c r="K43" s="70" t="e">
        <f aca="false">SUM(K36:K42)</f>
        <v>#REF!</v>
      </c>
      <c r="L43" s="70" t="e">
        <f aca="false">SUM(L36:L42)</f>
        <v>#REF!</v>
      </c>
      <c r="M43" s="70" t="e">
        <f aca="false">SUM(M36:M42)</f>
        <v>#REF!</v>
      </c>
      <c r="N43" s="70" t="e">
        <f aca="false">SUM(N36:N42)</f>
        <v>#REF!</v>
      </c>
      <c r="O43" s="70" t="e">
        <f aca="false">SUM(O36:O42)</f>
        <v>#REF!</v>
      </c>
      <c r="P43" s="70" t="e">
        <f aca="false">SUM(P36:P42)</f>
        <v>#REF!</v>
      </c>
      <c r="R43" s="66" t="e">
        <f aca="false">SUM(R36:R42)</f>
        <v>#REF!</v>
      </c>
    </row>
    <row r="44" customFormat="false" ht="12.75" hidden="false" customHeight="true" outlineLevel="3" collapsed="false">
      <c r="B44" s="58"/>
      <c r="C44" s="58"/>
    </row>
    <row r="45" customFormat="false" ht="12.75" hidden="false" customHeight="true" outlineLevel="3" collapsed="false">
      <c r="A45" s="61" t="s">
        <v>79</v>
      </c>
      <c r="B45" s="58"/>
      <c r="C45" s="58"/>
    </row>
    <row r="46" customFormat="false" ht="12.75" hidden="false" customHeight="true" outlineLevel="4" collapsed="false">
      <c r="A46" s="57" t="s">
        <v>80</v>
      </c>
      <c r="B46" s="58" t="n">
        <f aca="false">D46+R46</f>
        <v>0</v>
      </c>
      <c r="C46" s="58"/>
      <c r="D46" s="62" t="n">
        <f aca="false">SUM(E46:P46)</f>
        <v>0</v>
      </c>
      <c r="E46" s="62" t="n">
        <f aca="false">MarYTD!E45-FebYTD!E46</f>
        <v>0</v>
      </c>
      <c r="F46" s="62" t="n">
        <f aca="false">MarYTD!F45-FebYTD!F46</f>
        <v>0</v>
      </c>
      <c r="G46" s="62" t="n">
        <f aca="false">MarYTD!G45-FebYTD!G46</f>
        <v>0</v>
      </c>
      <c r="H46" s="62" t="n">
        <f aca="false">MarYTD!H45-FebYTD!H46</f>
        <v>0</v>
      </c>
      <c r="I46" s="62" t="n">
        <f aca="false">MarYTD!I45-FebYTD!I46</f>
        <v>0</v>
      </c>
      <c r="J46" s="62" t="n">
        <f aca="false">MarYTD!J45-FebYTD!J46</f>
        <v>0</v>
      </c>
      <c r="K46" s="62" t="n">
        <f aca="false">MarYTD!K45-FebYTD!K46</f>
        <v>0</v>
      </c>
      <c r="L46" s="62" t="n">
        <f aca="false">MarYTD!L45-FebYTD!L46</f>
        <v>0</v>
      </c>
      <c r="M46" s="62" t="n">
        <f aca="false">MarYTD!M45-FebYTD!M46</f>
        <v>0</v>
      </c>
      <c r="N46" s="62"/>
      <c r="O46" s="62" t="n">
        <f aca="false">MarYTD!O45-FebYTD!O46</f>
        <v>0</v>
      </c>
      <c r="P46" s="62" t="n">
        <f aca="false">MarYTD!P45-FebYTD!P46</f>
        <v>0</v>
      </c>
    </row>
    <row r="47" customFormat="false" ht="12.75" hidden="false" customHeight="true" outlineLevel="4" collapsed="false">
      <c r="A47" s="57" t="s">
        <v>81</v>
      </c>
      <c r="B47" s="58" t="n">
        <f aca="false">D47+R47</f>
        <v>250000</v>
      </c>
      <c r="C47" s="58"/>
      <c r="D47" s="62" t="n">
        <f aca="false">SUM(E47:M47)+O47+P47</f>
        <v>250000</v>
      </c>
      <c r="E47" s="62" t="n">
        <f aca="false">MarYTD!E46-FebYTD!E47</f>
        <v>0</v>
      </c>
      <c r="F47" s="62" t="n">
        <f aca="false">MarYTD!F46-FebYTD!F47</f>
        <v>250000</v>
      </c>
      <c r="G47" s="62" t="n">
        <f aca="false">MarYTD!G46-FebYTD!G47</f>
        <v>0</v>
      </c>
      <c r="H47" s="62" t="n">
        <f aca="false">MarYTD!H46-FebYTD!H47</f>
        <v>0</v>
      </c>
      <c r="I47" s="62" t="n">
        <f aca="false">MarYTD!I46-FebYTD!I47</f>
        <v>0</v>
      </c>
      <c r="J47" s="62" t="n">
        <f aca="false">MarYTD!J46-FebYTD!J47</f>
        <v>0</v>
      </c>
      <c r="K47" s="62" t="n">
        <f aca="false">MarYTD!K46-FebYTD!K47</f>
        <v>0</v>
      </c>
      <c r="L47" s="62" t="n">
        <f aca="false">MarYTD!L46-FebYTD!L47</f>
        <v>0</v>
      </c>
      <c r="M47" s="62" t="n">
        <f aca="false">MarYTD!M46-FebYTD!M47</f>
        <v>0</v>
      </c>
      <c r="N47" s="62"/>
      <c r="O47" s="62" t="n">
        <f aca="false">MarYTD!O46-FebYTD!O47</f>
        <v>0</v>
      </c>
      <c r="P47" s="62" t="n">
        <f aca="false">MarYTD!P46-FebYTD!P47</f>
        <v>0</v>
      </c>
    </row>
    <row r="48" customFormat="false" ht="12.75" hidden="false" customHeight="true" outlineLevel="4" collapsed="false">
      <c r="A48" s="57" t="s">
        <v>83</v>
      </c>
      <c r="B48" s="58" t="n">
        <f aca="false">D48+R48</f>
        <v>-100000</v>
      </c>
      <c r="C48" s="58"/>
      <c r="D48" s="62" t="n">
        <f aca="false">SUM(E48:P48)</f>
        <v>-100000</v>
      </c>
      <c r="E48" s="62" t="n">
        <f aca="false">MarYTD!E47-FebYTD!E48</f>
        <v>0</v>
      </c>
      <c r="F48" s="62" t="n">
        <f aca="false">MarYTD!F47-FebYTD!F48</f>
        <v>-100000</v>
      </c>
      <c r="G48" s="62" t="n">
        <f aca="false">MarYTD!G47-FebYTD!G48</f>
        <v>0</v>
      </c>
      <c r="H48" s="62" t="n">
        <f aca="false">MarYTD!H47-FebYTD!H48</f>
        <v>0</v>
      </c>
      <c r="I48" s="62" t="n">
        <f aca="false">MarYTD!I47-FebYTD!I48</f>
        <v>0</v>
      </c>
      <c r="J48" s="62" t="n">
        <f aca="false">MarYTD!J47-FebYTD!J48</f>
        <v>0</v>
      </c>
      <c r="K48" s="62" t="n">
        <f aca="false">MarYTD!K47-FebYTD!K48</f>
        <v>0</v>
      </c>
      <c r="L48" s="62" t="n">
        <f aca="false">MarYTD!L47-FebYTD!L48</f>
        <v>0</v>
      </c>
      <c r="M48" s="62" t="n">
        <f aca="false">MarYTD!M47-FebYTD!M48</f>
        <v>0</v>
      </c>
      <c r="N48" s="62"/>
      <c r="O48" s="62" t="n">
        <f aca="false">MarYTD!O47-FebYTD!O48</f>
        <v>0</v>
      </c>
      <c r="P48" s="62" t="n">
        <f aca="false">MarYTD!P47-FebYTD!P48</f>
        <v>0</v>
      </c>
    </row>
    <row r="49" customFormat="false" ht="12.75" hidden="false" customHeight="true" outlineLevel="4" collapsed="false">
      <c r="A49" s="57" t="s">
        <v>84</v>
      </c>
      <c r="B49" s="58" t="n">
        <f aca="false">D49+R49</f>
        <v>0</v>
      </c>
      <c r="C49" s="58"/>
      <c r="D49" s="62" t="n">
        <f aca="false">SUM(E49:M49)+O49+P49</f>
        <v>0</v>
      </c>
      <c r="E49" s="62" t="n">
        <f aca="false">MarYTD!E48-FebYTD!E49</f>
        <v>0</v>
      </c>
      <c r="F49" s="62" t="n">
        <f aca="false">MarYTD!F48-FebYTD!F49</f>
        <v>0</v>
      </c>
      <c r="G49" s="62" t="n">
        <f aca="false">MarYTD!G48-FebYTD!G49</f>
        <v>0</v>
      </c>
      <c r="H49" s="62" t="n">
        <f aca="false">MarYTD!H48-FebYTD!H49</f>
        <v>0</v>
      </c>
      <c r="I49" s="62" t="n">
        <f aca="false">MarYTD!I48-FebYTD!I49</f>
        <v>0</v>
      </c>
      <c r="J49" s="62" t="n">
        <f aca="false">MarYTD!J48-FebYTD!J49</f>
        <v>0</v>
      </c>
      <c r="K49" s="62" t="n">
        <f aca="false">MarYTD!K48-FebYTD!K49</f>
        <v>0</v>
      </c>
      <c r="L49" s="62" t="n">
        <f aca="false">MarYTD!L48-FebYTD!L49</f>
        <v>0</v>
      </c>
      <c r="M49" s="62" t="n">
        <f aca="false">MarYTD!M48-FebYTD!M49</f>
        <v>0</v>
      </c>
      <c r="N49" s="62"/>
      <c r="O49" s="62" t="n">
        <f aca="false">MarYTD!O48-FebYTD!O49</f>
        <v>0</v>
      </c>
      <c r="P49" s="62" t="n">
        <f aca="false">MarYTD!P48-FebYTD!P49</f>
        <v>0</v>
      </c>
    </row>
    <row r="50" customFormat="false" ht="12.75" hidden="false" customHeight="true" outlineLevel="4" collapsed="false">
      <c r="A50" s="57" t="s">
        <v>107</v>
      </c>
      <c r="B50" s="58" t="n">
        <f aca="false">D50+R50</f>
        <v>0</v>
      </c>
      <c r="C50" s="58"/>
      <c r="D50" s="62" t="n">
        <f aca="false">SUM(E50:P50)</f>
        <v>0</v>
      </c>
      <c r="E50" s="62" t="n">
        <f aca="false">MarYTD!E49-FebYTD!E50</f>
        <v>0</v>
      </c>
      <c r="F50" s="62" t="n">
        <f aca="false">MarYTD!F49-FebYTD!F50</f>
        <v>0</v>
      </c>
      <c r="G50" s="62" t="n">
        <f aca="false">MarYTD!G49-FebYTD!G50</f>
        <v>0</v>
      </c>
      <c r="H50" s="62" t="n">
        <f aca="false">MarYTD!H49-FebYTD!H50</f>
        <v>0</v>
      </c>
      <c r="I50" s="62" t="n">
        <f aca="false">MarYTD!I49-FebYTD!I50</f>
        <v>0</v>
      </c>
      <c r="J50" s="62" t="n">
        <f aca="false">MarYTD!J49-FebYTD!J50</f>
        <v>0</v>
      </c>
      <c r="K50" s="62" t="n">
        <f aca="false">MarYTD!K49-FebYTD!K50</f>
        <v>0</v>
      </c>
      <c r="L50" s="62" t="n">
        <f aca="false">MarYTD!L49-FebYTD!L50</f>
        <v>0</v>
      </c>
      <c r="M50" s="62" t="n">
        <f aca="false">MarYTD!M49-FebYTD!M50</f>
        <v>0</v>
      </c>
      <c r="N50" s="75"/>
      <c r="O50" s="62" t="n">
        <f aca="false">MarYTD!O49-FebYTD!O50</f>
        <v>0</v>
      </c>
      <c r="P50" s="62" t="n">
        <f aca="false">MarYTD!P49-FebYTD!P50</f>
        <v>0</v>
      </c>
      <c r="R50" s="50"/>
    </row>
    <row r="51" customFormat="false" ht="12.75" hidden="false" customHeight="true" outlineLevel="3" collapsed="false">
      <c r="A51" s="57" t="s">
        <v>86</v>
      </c>
      <c r="B51" s="72" t="n">
        <f aca="false">SUM(B46:B50)</f>
        <v>150000</v>
      </c>
      <c r="C51" s="58"/>
      <c r="D51" s="72" t="n">
        <f aca="false">SUM(D46:D50)</f>
        <v>150000</v>
      </c>
      <c r="E51" s="72" t="n">
        <f aca="false">SUM(E46:E50)</f>
        <v>0</v>
      </c>
      <c r="F51" s="72" t="n">
        <f aca="false">SUM(F46:F50)</f>
        <v>150000</v>
      </c>
      <c r="G51" s="72" t="n">
        <f aca="false">SUM(G46:G50)</f>
        <v>0</v>
      </c>
      <c r="H51" s="72" t="n">
        <f aca="false">SUM(H46:H50)</f>
        <v>0</v>
      </c>
      <c r="I51" s="72" t="n">
        <f aca="false">SUM(I46:I50)</f>
        <v>0</v>
      </c>
      <c r="J51" s="72" t="n">
        <f aca="false">SUM(J46:J50)</f>
        <v>0</v>
      </c>
      <c r="K51" s="72" t="n">
        <f aca="false">SUM(K46:K50)</f>
        <v>0</v>
      </c>
      <c r="L51" s="72" t="n">
        <f aca="false">SUM(L46:L50)</f>
        <v>0</v>
      </c>
      <c r="M51" s="72" t="n">
        <f aca="false">SUM(M46:M50)</f>
        <v>0</v>
      </c>
      <c r="N51" s="72" t="n">
        <f aca="false">SUM(N46:N50)</f>
        <v>0</v>
      </c>
      <c r="O51" s="72" t="n">
        <f aca="false">SUM(O46:O50)</f>
        <v>0</v>
      </c>
      <c r="P51" s="72" t="n">
        <f aca="false">SUM(P46:P50)</f>
        <v>0</v>
      </c>
      <c r="R51" s="72" t="n">
        <f aca="false">SUM(R46:R50)</f>
        <v>0</v>
      </c>
    </row>
    <row r="52" customFormat="false" ht="12.75" hidden="false" customHeight="true" outlineLevel="3" collapsed="false">
      <c r="A52" s="57"/>
      <c r="B52" s="71"/>
      <c r="C52" s="58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R52" s="71"/>
    </row>
    <row r="53" customFormat="false" ht="12.75" hidden="false" customHeight="true" outlineLevel="2" collapsed="false">
      <c r="A53" s="57" t="s">
        <v>87</v>
      </c>
      <c r="B53" s="71" t="e">
        <f aca="false">B33+B43+B51</f>
        <v>#REF!</v>
      </c>
      <c r="C53" s="58"/>
      <c r="D53" s="71" t="n">
        <f aca="false">D33+D43+D51</f>
        <v>167030.659</v>
      </c>
      <c r="E53" s="71" t="e">
        <f aca="false">E33+E43+E51</f>
        <v>#REF!</v>
      </c>
      <c r="F53" s="71" t="e">
        <f aca="false">F33+F43+F51</f>
        <v>#REF!</v>
      </c>
      <c r="G53" s="71" t="e">
        <f aca="false">G33+G43+G51</f>
        <v>#REF!</v>
      </c>
      <c r="H53" s="71" t="e">
        <f aca="false">H33+H43+H51</f>
        <v>#REF!</v>
      </c>
      <c r="I53" s="71" t="e">
        <f aca="false">I33+I43+I51</f>
        <v>#REF!</v>
      </c>
      <c r="J53" s="71" t="e">
        <f aca="false">J33+J43+J51</f>
        <v>#REF!</v>
      </c>
      <c r="K53" s="71" t="e">
        <f aca="false">K33+K43+K51</f>
        <v>#REF!</v>
      </c>
      <c r="L53" s="71" t="e">
        <f aca="false">L33+L43+L51</f>
        <v>#REF!</v>
      </c>
      <c r="M53" s="71" t="e">
        <f aca="false">M33+M43+M51</f>
        <v>#REF!</v>
      </c>
      <c r="N53" s="71" t="e">
        <f aca="false">M53+L53</f>
        <v>#REF!</v>
      </c>
      <c r="O53" s="71" t="e">
        <f aca="false">O33+O43+O51</f>
        <v>#REF!</v>
      </c>
      <c r="P53" s="71" t="e">
        <f aca="false">P33+P43+P51</f>
        <v>#REF!</v>
      </c>
      <c r="R53" s="71" t="e">
        <f aca="false">R33+R43+R51</f>
        <v>#REF!</v>
      </c>
    </row>
    <row r="54" customFormat="false" ht="12.75" hidden="false" customHeight="true" outlineLevel="2" collapsed="false">
      <c r="A54" s="57"/>
      <c r="B54" s="71"/>
      <c r="C54" s="58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R54" s="71"/>
    </row>
    <row r="55" customFormat="false" ht="12.75" hidden="false" customHeight="true" outlineLevel="2" collapsed="false">
      <c r="A55" s="57" t="s">
        <v>88</v>
      </c>
      <c r="B55" s="63" t="n">
        <f aca="false">D55+R55</f>
        <v>67</v>
      </c>
      <c r="C55" s="58"/>
      <c r="D55" s="64" t="n">
        <f aca="false">SUM(E55:M55)+O55+P55</f>
        <v>-40</v>
      </c>
      <c r="E55" s="77" t="n">
        <v>0</v>
      </c>
      <c r="F55" s="77" t="n">
        <v>0</v>
      </c>
      <c r="G55" s="77" t="n">
        <v>0</v>
      </c>
      <c r="H55" s="77" t="n">
        <v>0</v>
      </c>
      <c r="I55" s="77" t="n">
        <v>0</v>
      </c>
      <c r="J55" s="77" t="n">
        <v>0</v>
      </c>
      <c r="K55" s="77" t="n">
        <v>0</v>
      </c>
      <c r="L55" s="77" t="n">
        <v>0</v>
      </c>
      <c r="M55" s="77" t="n">
        <v>0</v>
      </c>
      <c r="N55" s="77"/>
      <c r="O55" s="50"/>
      <c r="P55" s="77" t="n">
        <f aca="false">MarYTD!P54-FebYTD!P55</f>
        <v>-40</v>
      </c>
      <c r="R55" s="64" t="n">
        <f aca="false">MarYTD!R54-FebYTD!R55</f>
        <v>107</v>
      </c>
    </row>
    <row r="56" customFormat="false" ht="12.75" hidden="false" customHeight="true" outlineLevel="2" collapsed="false">
      <c r="A56" s="57"/>
      <c r="B56" s="58"/>
      <c r="C56" s="58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R56" s="42"/>
    </row>
    <row r="57" customFormat="false" ht="12.75" hidden="false" customHeight="true" outlineLevel="1" collapsed="false">
      <c r="A57" s="57" t="s">
        <v>89</v>
      </c>
      <c r="B57" s="74" t="e">
        <f aca="false">B55+B53</f>
        <v>#REF!</v>
      </c>
      <c r="C57" s="58"/>
      <c r="D57" s="74" t="n">
        <f aca="false">D55+D53</f>
        <v>166990.659</v>
      </c>
      <c r="E57" s="74" t="e">
        <f aca="false">E55+E53</f>
        <v>#REF!</v>
      </c>
      <c r="F57" s="74" t="e">
        <f aca="false">F55+F53</f>
        <v>#REF!</v>
      </c>
      <c r="G57" s="74" t="e">
        <f aca="false">G55+G53</f>
        <v>#REF!</v>
      </c>
      <c r="H57" s="74" t="e">
        <f aca="false">H55+H53</f>
        <v>#REF!</v>
      </c>
      <c r="I57" s="74" t="e">
        <f aca="false">I55+I53</f>
        <v>#REF!</v>
      </c>
      <c r="J57" s="74" t="e">
        <f aca="false">J55+J53</f>
        <v>#REF!</v>
      </c>
      <c r="K57" s="74" t="e">
        <f aca="false">K55+K53</f>
        <v>#REF!</v>
      </c>
      <c r="L57" s="74" t="e">
        <f aca="false">L55+L53</f>
        <v>#REF!</v>
      </c>
      <c r="M57" s="74" t="e">
        <f aca="false">M55+M53</f>
        <v>#REF!</v>
      </c>
      <c r="N57" s="74" t="e">
        <f aca="false">N55+N53</f>
        <v>#REF!</v>
      </c>
      <c r="O57" s="74" t="e">
        <f aca="false">O55+O53</f>
        <v>#REF!</v>
      </c>
      <c r="P57" s="74" t="e">
        <f aca="false">P55+P53</f>
        <v>#REF!</v>
      </c>
      <c r="R57" s="74" t="e">
        <f aca="false">R55+R53</f>
        <v>#REF!</v>
      </c>
    </row>
    <row r="58" customFormat="false" ht="12.75" hidden="false" customHeight="true" outlineLevel="1" collapsed="false">
      <c r="B58" s="42"/>
      <c r="C58" s="42"/>
    </row>
    <row r="59" customFormat="false" ht="12.75" hidden="false" customHeight="true" outlineLevel="0" collapsed="false">
      <c r="A59" s="40" t="s">
        <v>90</v>
      </c>
      <c r="B59" s="64" t="n">
        <f aca="false">D59+R59</f>
        <v>-150008</v>
      </c>
      <c r="C59" s="42"/>
      <c r="D59" s="64" t="n">
        <f aca="false">SUM(E59:P59)</f>
        <v>-150008</v>
      </c>
      <c r="E59" s="64" t="n">
        <f aca="false">MarYTD!E58-FebYTD!E59</f>
        <v>-7</v>
      </c>
      <c r="F59" s="64" t="n">
        <f aca="false">MarYTD!F58-FebYTD!F59</f>
        <v>-150000</v>
      </c>
      <c r="G59" s="64" t="n">
        <f aca="false">MarYTD!G58-FebYTD!G59</f>
        <v>0</v>
      </c>
      <c r="H59" s="64" t="n">
        <f aca="false">MarYTD!H58-FebYTD!H59</f>
        <v>0</v>
      </c>
      <c r="I59" s="64" t="n">
        <f aca="false">MarYTD!I58-FebYTD!I59</f>
        <v>24</v>
      </c>
      <c r="J59" s="64" t="n">
        <f aca="false">MarYTD!J58-FebYTD!J59</f>
        <v>-52</v>
      </c>
      <c r="K59" s="64" t="n">
        <f aca="false">MarYTD!K58-FebYTD!K59</f>
        <v>27</v>
      </c>
      <c r="L59" s="64" t="n">
        <f aca="false">MarYTD!L58-FebYTD!L59</f>
        <v>0</v>
      </c>
      <c r="M59" s="64" t="n">
        <f aca="false">MarYTD!M58-FebYTD!M59</f>
        <v>0</v>
      </c>
      <c r="N59" s="77"/>
      <c r="O59" s="64" t="n">
        <f aca="false">MarYTD!O58-FebYTD!O59</f>
        <v>0</v>
      </c>
      <c r="P59" s="64" t="n">
        <f aca="false">MarYTD!P58-FebYTD!P59</f>
        <v>0</v>
      </c>
      <c r="R59" s="50"/>
    </row>
    <row r="60" customFormat="false" ht="12.75" hidden="false" customHeight="true" outlineLevel="0" collapsed="false">
      <c r="B60" s="42"/>
      <c r="C60" s="42"/>
    </row>
    <row r="61" customFormat="false" ht="12.75" hidden="false" customHeight="true" outlineLevel="0" collapsed="false">
      <c r="A61" s="40" t="s">
        <v>91</v>
      </c>
      <c r="B61" s="74" t="e">
        <f aca="false">B57+B59</f>
        <v>#REF!</v>
      </c>
      <c r="C61" s="42"/>
      <c r="D61" s="74" t="n">
        <f aca="false">D57+D59</f>
        <v>16982.659</v>
      </c>
      <c r="E61" s="74" t="e">
        <f aca="false">E57+E59</f>
        <v>#REF!</v>
      </c>
      <c r="F61" s="74" t="e">
        <f aca="false">F57+F59</f>
        <v>#REF!</v>
      </c>
      <c r="G61" s="74" t="e">
        <f aca="false">G57+G59</f>
        <v>#REF!</v>
      </c>
      <c r="H61" s="74" t="e">
        <f aca="false">H57+H59</f>
        <v>#REF!</v>
      </c>
      <c r="I61" s="74" t="e">
        <f aca="false">I57+I59</f>
        <v>#REF!</v>
      </c>
      <c r="J61" s="74" t="e">
        <f aca="false">J57+J59</f>
        <v>#REF!</v>
      </c>
      <c r="K61" s="74" t="e">
        <f aca="false">K57+K59</f>
        <v>#REF!</v>
      </c>
      <c r="L61" s="74" t="e">
        <f aca="false">L57+L59</f>
        <v>#REF!</v>
      </c>
      <c r="M61" s="74" t="e">
        <f aca="false">M57+M59</f>
        <v>#REF!</v>
      </c>
      <c r="N61" s="74" t="e">
        <f aca="false">M61+L61</f>
        <v>#REF!</v>
      </c>
      <c r="O61" s="74" t="e">
        <f aca="false">O57+O59</f>
        <v>#REF!</v>
      </c>
      <c r="P61" s="74" t="e">
        <f aca="false">P57+P59</f>
        <v>#REF!</v>
      </c>
      <c r="R61" s="74" t="e">
        <f aca="false">R57+R59</f>
        <v>#REF!</v>
      </c>
    </row>
    <row r="62" customFormat="false" ht="12.75" hidden="false" customHeight="true" outlineLevel="0" collapsed="false">
      <c r="B62" s="42"/>
      <c r="C62" s="42"/>
    </row>
    <row r="63" customFormat="false" ht="12.75" hidden="false" customHeight="true" outlineLevel="0" collapsed="false">
      <c r="B63" s="42"/>
      <c r="C63" s="42"/>
      <c r="P63" s="40" t="n">
        <v>145</v>
      </c>
    </row>
    <row r="64" customFormat="false" ht="12.75" hidden="false" customHeight="true" outlineLevel="0" collapsed="false">
      <c r="P64" s="40" t="e">
        <f aca="false">P57-P63</f>
        <v>#REF!</v>
      </c>
    </row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78"/>
  <sheetViews>
    <sheetView showFormulas="false" showGridLines="tru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A40" activeCellId="0" sqref="A40"/>
    </sheetView>
  </sheetViews>
  <sheetFormatPr defaultColWidth="8.9921875" defaultRowHeight="12.75" customHeight="true" zeroHeight="false" outlineLevelRow="4" outlineLevelCol="0"/>
  <cols>
    <col collapsed="false" customWidth="true" hidden="false" outlineLevel="0" max="1" min="1" style="40" width="67.99"/>
    <col collapsed="false" customWidth="true" hidden="false" outlineLevel="0" max="2" min="2" style="40" width="14.49"/>
    <col collapsed="false" customWidth="true" hidden="false" outlineLevel="0" max="3" min="3" style="40" width="1.82"/>
    <col collapsed="false" customWidth="true" hidden="false" outlineLevel="0" max="4" min="4" style="40" width="11.82"/>
    <col collapsed="false" customWidth="true" hidden="false" outlineLevel="0" max="5" min="5" style="40" width="10.65"/>
    <col collapsed="false" customWidth="true" hidden="false" outlineLevel="0" max="6" min="6" style="40" width="10.82"/>
    <col collapsed="false" customWidth="true" hidden="false" outlineLevel="0" max="7" min="7" style="40" width="12.82"/>
    <col collapsed="false" customWidth="true" hidden="false" outlineLevel="0" max="11" min="8" style="40" width="10.82"/>
    <col collapsed="false" customWidth="true" hidden="true" outlineLevel="0" max="13" min="12" style="40" width="10.82"/>
    <col collapsed="false" customWidth="true" hidden="false" outlineLevel="0" max="15" min="14" style="40" width="12.16"/>
    <col collapsed="false" customWidth="true" hidden="false" outlineLevel="0" max="16" min="16" style="40" width="10.82"/>
    <col collapsed="false" customWidth="true" hidden="false" outlineLevel="0" max="17" min="17" style="40" width="3.65"/>
    <col collapsed="false" customWidth="true" hidden="false" outlineLevel="0" max="18" min="18" style="40" width="10.16"/>
    <col collapsed="false" customWidth="false" hidden="false" outlineLevel="0" max="257" min="19" style="40" width="8.99"/>
  </cols>
  <sheetData>
    <row r="1" customFormat="false" ht="12.75" hidden="false" customHeight="true" outlineLevel="0" collapsed="false">
      <c r="A1" s="41" t="s">
        <v>18</v>
      </c>
      <c r="B1" s="42"/>
      <c r="C1" s="42"/>
      <c r="D1" s="42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customFormat="false" ht="12.75" hidden="false" customHeight="true" outlineLevel="0" collapsed="false">
      <c r="A2" s="44" t="s">
        <v>19</v>
      </c>
      <c r="D2" s="45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customFormat="false" ht="12.75" hidden="false" customHeight="true" outlineLevel="0" collapsed="false">
      <c r="A3" s="47" t="s">
        <v>122</v>
      </c>
      <c r="B3" s="42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</row>
    <row r="4" customFormat="false" ht="12.75" hidden="false" customHeight="true" outlineLevel="0" collapsed="false">
      <c r="A4" s="42"/>
      <c r="B4" s="49" t="s">
        <v>97</v>
      </c>
      <c r="C4" s="50"/>
      <c r="D4" s="51"/>
      <c r="I4" s="52" t="s">
        <v>98</v>
      </c>
      <c r="J4" s="52" t="s">
        <v>28</v>
      </c>
      <c r="K4" s="52" t="s">
        <v>29</v>
      </c>
      <c r="L4" s="52" t="s">
        <v>30</v>
      </c>
      <c r="M4" s="52" t="s">
        <v>31</v>
      </c>
      <c r="N4" s="52" t="s">
        <v>30</v>
      </c>
      <c r="O4" s="52" t="s">
        <v>32</v>
      </c>
      <c r="R4" s="53" t="s">
        <v>21</v>
      </c>
    </row>
    <row r="5" customFormat="false" ht="12.75" hidden="false" customHeight="true" outlineLevel="0" collapsed="false">
      <c r="A5" s="54" t="s">
        <v>34</v>
      </c>
      <c r="B5" s="55" t="s">
        <v>100</v>
      </c>
      <c r="C5" s="52"/>
      <c r="D5" s="51" t="s">
        <v>35</v>
      </c>
      <c r="E5" s="51" t="s">
        <v>22</v>
      </c>
      <c r="F5" s="51" t="s">
        <v>23</v>
      </c>
      <c r="G5" s="51" t="s">
        <v>24</v>
      </c>
      <c r="H5" s="51" t="s">
        <v>25</v>
      </c>
      <c r="I5" s="51" t="n">
        <v>543</v>
      </c>
      <c r="J5" s="51" t="n">
        <v>584</v>
      </c>
      <c r="K5" s="51" t="n">
        <v>583</v>
      </c>
      <c r="L5" s="51" t="s">
        <v>36</v>
      </c>
      <c r="M5" s="51"/>
      <c r="N5" s="51" t="s">
        <v>37</v>
      </c>
      <c r="O5" s="51" t="s">
        <v>38</v>
      </c>
      <c r="P5" s="51" t="s">
        <v>33</v>
      </c>
      <c r="R5" s="56" t="s">
        <v>102</v>
      </c>
    </row>
    <row r="6" customFormat="false" ht="12.75" hidden="false" customHeight="true" outlineLevel="2" collapsed="false">
      <c r="A6" s="57"/>
      <c r="B6" s="58"/>
      <c r="C6" s="58"/>
      <c r="D6" s="59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</row>
    <row r="7" customFormat="false" ht="12.75" hidden="false" customHeight="true" outlineLevel="4" collapsed="false">
      <c r="A7" s="61" t="s">
        <v>39</v>
      </c>
      <c r="B7" s="58"/>
      <c r="C7" s="58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</row>
    <row r="8" customFormat="false" ht="12.75" hidden="false" customHeight="true" outlineLevel="4" collapsed="false">
      <c r="A8" s="57" t="s">
        <v>40</v>
      </c>
      <c r="B8" s="58" t="n">
        <f aca="false">D8+R8</f>
        <v>84850.005</v>
      </c>
      <c r="C8" s="58"/>
      <c r="D8" s="62" t="n">
        <f aca="false">SUM(E8:M8)+O8+P8</f>
        <v>86157.36</v>
      </c>
      <c r="E8" s="62" t="n">
        <f aca="false">[18]03YTD!J$65</f>
        <v>62672.226</v>
      </c>
      <c r="F8" s="62" t="n">
        <f aca="false">[18]03YTD!K$65</f>
        <v>13255.386</v>
      </c>
      <c r="G8" s="62" t="n">
        <f aca="false">[18]03YTD!L$65</f>
        <v>6451.653</v>
      </c>
      <c r="H8" s="62" t="n">
        <f aca="false">[18]03YTD!M$65</f>
        <v>892.487</v>
      </c>
      <c r="I8" s="62" t="n">
        <f aca="false">[18]03YTD!N$65</f>
        <v>-0.285000000000002</v>
      </c>
      <c r="J8" s="62" t="n">
        <f aca="false">[18]03YTD!O$65</f>
        <v>389.496</v>
      </c>
      <c r="K8" s="62" t="n">
        <f aca="false">[18]03YTD!P$65</f>
        <v>63.835</v>
      </c>
      <c r="L8" s="62" t="n">
        <f aca="false">[18]03YTD!Q$65</f>
        <v>-10.381</v>
      </c>
      <c r="M8" s="62" t="n">
        <f aca="false">[18]03YTD!R$65</f>
        <v>0</v>
      </c>
      <c r="N8" s="62" t="n">
        <f aca="false">M8+L8</f>
        <v>-10.381</v>
      </c>
      <c r="O8" s="62" t="n">
        <f aca="false">[18]03YTD!$U$65</f>
        <v>2442.944</v>
      </c>
      <c r="P8" s="62" t="n">
        <f aca="false">[18]03YTD!V$65</f>
        <v>-0.000999999999999446</v>
      </c>
      <c r="R8" s="62" t="n">
        <f aca="false">[18]03YTD!$X$65</f>
        <v>-1307.355</v>
      </c>
    </row>
    <row r="9" customFormat="false" ht="12.75" hidden="false" customHeight="true" outlineLevel="4" collapsed="false">
      <c r="A9" s="57" t="s">
        <v>41</v>
      </c>
      <c r="B9" s="63" t="n">
        <f aca="false">D9+R9</f>
        <v>7811.511</v>
      </c>
      <c r="C9" s="58"/>
      <c r="D9" s="64" t="n">
        <f aca="false">SUM(E9:M9)+O9+P9</f>
        <v>7811.511</v>
      </c>
      <c r="E9" s="64" t="n">
        <f aca="false">[18]03YTD!J$72*-1</f>
        <v>-3619.298</v>
      </c>
      <c r="F9" s="64" t="n">
        <f aca="false">[18]03YTD!K$72*-1</f>
        <v>816.1</v>
      </c>
      <c r="G9" s="64" t="n">
        <f aca="false">[18]03YTD!L$72*-1</f>
        <v>-0</v>
      </c>
      <c r="H9" s="64" t="n">
        <f aca="false">[18]03YTD!M$72*-1</f>
        <v>877.97</v>
      </c>
      <c r="I9" s="64" t="n">
        <f aca="false">[18]03YTD!N$72*-1</f>
        <v>-0</v>
      </c>
      <c r="J9" s="64" t="n">
        <f aca="false">[18]03YTD!O$72*-1</f>
        <v>81.351</v>
      </c>
      <c r="K9" s="64" t="n">
        <f aca="false">[18]03YTD!P$72*-1</f>
        <v>-0</v>
      </c>
      <c r="L9" s="64" t="n">
        <f aca="false">[18]03YTD!Q$72*-1</f>
        <v>-0</v>
      </c>
      <c r="M9" s="64" t="n">
        <f aca="false">[18]03YTD!R$72*-1</f>
        <v>-0</v>
      </c>
      <c r="N9" s="64" t="n">
        <f aca="false">M9+L9</f>
        <v>-0</v>
      </c>
      <c r="O9" s="64" t="n">
        <f aca="false">[18]03YTD!U$72*-1</f>
        <v>9655.388</v>
      </c>
      <c r="P9" s="64" t="n">
        <f aca="false">[18]03YTD!V$72*-1</f>
        <v>-0</v>
      </c>
      <c r="R9" s="64" t="n">
        <f aca="false">[18]03YTD!X$72*-1</f>
        <v>-0</v>
      </c>
    </row>
    <row r="10" customFormat="false" ht="12.75" hidden="false" customHeight="true" outlineLevel="4" collapsed="false">
      <c r="A10" s="57" t="s">
        <v>42</v>
      </c>
      <c r="B10" s="65" t="n">
        <f aca="false">B8+B9</f>
        <v>92661.516</v>
      </c>
      <c r="C10" s="58"/>
      <c r="D10" s="65" t="n">
        <f aca="false">D8+D9</f>
        <v>93968.871</v>
      </c>
      <c r="E10" s="65" t="n">
        <f aca="false">E8+E9</f>
        <v>59052.928</v>
      </c>
      <c r="F10" s="65" t="n">
        <f aca="false">F8+F9</f>
        <v>14071.486</v>
      </c>
      <c r="G10" s="65" t="n">
        <f aca="false">G8+G9</f>
        <v>6451.653</v>
      </c>
      <c r="H10" s="65" t="n">
        <f aca="false">H8+H9</f>
        <v>1770.457</v>
      </c>
      <c r="I10" s="65" t="n">
        <f aca="false">I8+I9</f>
        <v>-0.285000000000002</v>
      </c>
      <c r="J10" s="65" t="n">
        <f aca="false">J8+J9</f>
        <v>470.847</v>
      </c>
      <c r="K10" s="65" t="n">
        <f aca="false">K8+K9</f>
        <v>63.835</v>
      </c>
      <c r="L10" s="65" t="n">
        <f aca="false">L8+L9</f>
        <v>-10.381</v>
      </c>
      <c r="M10" s="65" t="n">
        <f aca="false">M8+M9</f>
        <v>0</v>
      </c>
      <c r="N10" s="65" t="n">
        <f aca="false">N8</f>
        <v>-10.381</v>
      </c>
      <c r="O10" s="65" t="n">
        <f aca="false">O8+O9</f>
        <v>12098.332</v>
      </c>
      <c r="P10" s="65" t="n">
        <f aca="false">P8+P9</f>
        <v>-0.000999999999999446</v>
      </c>
      <c r="R10" s="65" t="n">
        <f aca="false">R8+R9</f>
        <v>-1307.355</v>
      </c>
    </row>
    <row r="11" customFormat="false" ht="12.75" hidden="false" customHeight="true" outlineLevel="4" collapsed="false">
      <c r="A11" s="57"/>
      <c r="B11" s="65"/>
      <c r="C11" s="58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R11" s="65"/>
    </row>
    <row r="12" customFormat="false" ht="12.75" hidden="false" customHeight="true" outlineLevel="4" collapsed="false">
      <c r="A12" s="57" t="s">
        <v>43</v>
      </c>
      <c r="B12" s="58" t="n">
        <f aca="false">D12+R12</f>
        <v>15988.229</v>
      </c>
      <c r="C12" s="58"/>
      <c r="D12" s="62" t="n">
        <f aca="false">SUM(E12:M12)+O12+P12</f>
        <v>15988.229</v>
      </c>
      <c r="E12" s="62" t="n">
        <f aca="false">[18]03YTD!J$36</f>
        <v>11137.832</v>
      </c>
      <c r="F12" s="62" t="n">
        <f aca="false">[18]03YTD!K$36</f>
        <v>4828.086</v>
      </c>
      <c r="G12" s="62" t="n">
        <f aca="false">[18]03YTD!L$36</f>
        <v>0</v>
      </c>
      <c r="H12" s="62" t="n">
        <f aca="false">[18]03YTD!M$36</f>
        <v>0</v>
      </c>
      <c r="I12" s="62" t="n">
        <f aca="false">[18]03YTD!N$36</f>
        <v>0</v>
      </c>
      <c r="J12" s="62" t="n">
        <f aca="false">[18]03YTD!O$36</f>
        <v>0</v>
      </c>
      <c r="K12" s="62" t="n">
        <f aca="false">[18]03YTD!P$36</f>
        <v>0</v>
      </c>
      <c r="L12" s="62" t="n">
        <f aca="false">[18]03YTD!Q$36</f>
        <v>22.311</v>
      </c>
      <c r="M12" s="62" t="n">
        <f aca="false">[18]03YTD!R$36</f>
        <v>0</v>
      </c>
      <c r="N12" s="62" t="n">
        <f aca="false">M12+L12</f>
        <v>22.311</v>
      </c>
      <c r="O12" s="62" t="n">
        <f aca="false">[18]03YTD!U$36</f>
        <v>0</v>
      </c>
      <c r="P12" s="62" t="n">
        <f aca="false">[18]03YTD!V$36</f>
        <v>0</v>
      </c>
      <c r="R12" s="62" t="n">
        <f aca="false">[18]03YTD!X$36</f>
        <v>0</v>
      </c>
    </row>
    <row r="13" customFormat="false" ht="12.75" hidden="false" customHeight="true" outlineLevel="4" collapsed="false">
      <c r="A13" s="57" t="s">
        <v>45</v>
      </c>
      <c r="B13" s="58" t="n">
        <f aca="false">D13+R13</f>
        <v>6374.877</v>
      </c>
      <c r="C13" s="58"/>
      <c r="D13" s="62" t="n">
        <f aca="false">SUM(E13:M13)+O13+P13</f>
        <v>6359.688</v>
      </c>
      <c r="E13" s="62" t="n">
        <f aca="false">[18]03YTD!J$62</f>
        <v>5811.631</v>
      </c>
      <c r="F13" s="62" t="n">
        <f aca="false">[18]03YTD!K$62</f>
        <v>380.64</v>
      </c>
      <c r="G13" s="62" t="n">
        <f aca="false">[18]03YTD!L$62</f>
        <v>0</v>
      </c>
      <c r="H13" s="62" t="n">
        <f aca="false">[18]03YTD!M$62</f>
        <v>162.474</v>
      </c>
      <c r="I13" s="62" t="n">
        <f aca="false">[18]03YTD!N$62</f>
        <v>0</v>
      </c>
      <c r="J13" s="62" t="n">
        <f aca="false">[18]03YTD!O$62</f>
        <v>0</v>
      </c>
      <c r="K13" s="62" t="n">
        <f aca="false">[18]03YTD!P$62</f>
        <v>-1.821</v>
      </c>
      <c r="L13" s="62" t="n">
        <f aca="false">[18]03YTD!Q$62</f>
        <v>6.764</v>
      </c>
      <c r="M13" s="62" t="n">
        <f aca="false">[18]03YTD!R$62</f>
        <v>0</v>
      </c>
      <c r="N13" s="62" t="n">
        <f aca="false">M13+L13</f>
        <v>6.764</v>
      </c>
      <c r="O13" s="62" t="n">
        <f aca="false">[18]03YTD!U$62</f>
        <v>0</v>
      </c>
      <c r="P13" s="62" t="n">
        <f aca="false">[18]03YTD!V$62</f>
        <v>0</v>
      </c>
      <c r="R13" s="62" t="n">
        <f aca="false">[18]03YTD!X$62</f>
        <v>15.189</v>
      </c>
    </row>
    <row r="14" customFormat="false" ht="12.75" hidden="false" customHeight="true" outlineLevel="4" collapsed="false">
      <c r="A14" s="57" t="s">
        <v>47</v>
      </c>
      <c r="B14" s="58" t="n">
        <f aca="false">D14+R14</f>
        <v>6.617</v>
      </c>
      <c r="C14" s="58"/>
      <c r="D14" s="62" t="n">
        <f aca="false">SUM(E14:M14)+O14+P14</f>
        <v>6.617</v>
      </c>
      <c r="E14" s="62" t="n">
        <f aca="false">[18]03YTD!$J$46*-1</f>
        <v>6.615</v>
      </c>
      <c r="F14" s="62" t="n">
        <f aca="false">[18]03YTD!K$46*-1</f>
        <v>0.002</v>
      </c>
      <c r="G14" s="62" t="n">
        <f aca="false">[18]03YTD!L$46*-1</f>
        <v>-0</v>
      </c>
      <c r="H14" s="62" t="n">
        <f aca="false">[18]03YTD!M$46*-1</f>
        <v>-0</v>
      </c>
      <c r="I14" s="62" t="n">
        <f aca="false">[18]03YTD!N$46*-1</f>
        <v>-0</v>
      </c>
      <c r="J14" s="62" t="n">
        <f aca="false">[16]01YTD!O$46*-1</f>
        <v>-0</v>
      </c>
      <c r="K14" s="62" t="n">
        <f aca="false">[16]01YTD!P$46*-1</f>
        <v>-0</v>
      </c>
      <c r="L14" s="62" t="n">
        <f aca="false">[16]01YTD!Q$46*-1</f>
        <v>-0</v>
      </c>
      <c r="M14" s="62" t="n">
        <f aca="false">[16]01YTD!R$46*-1</f>
        <v>-0</v>
      </c>
      <c r="N14" s="62" t="n">
        <f aca="false">[16]01YTD!S$46*-1</f>
        <v>-0</v>
      </c>
      <c r="O14" s="62"/>
      <c r="P14" s="62"/>
      <c r="R14" s="62"/>
    </row>
    <row r="15" customFormat="false" ht="12.75" hidden="false" customHeight="true" outlineLevel="4" collapsed="false">
      <c r="A15" s="57" t="s">
        <v>48</v>
      </c>
      <c r="B15" s="58" t="n">
        <f aca="false">D15+R15</f>
        <v>0</v>
      </c>
      <c r="C15" s="58"/>
      <c r="D15" s="62" t="n">
        <f aca="false">SUM(E15:M15)+O15+P15</f>
        <v>0</v>
      </c>
      <c r="E15" s="62"/>
      <c r="F15" s="62"/>
      <c r="G15" s="62"/>
      <c r="H15" s="62"/>
      <c r="I15" s="62"/>
      <c r="J15" s="62"/>
      <c r="K15" s="62"/>
      <c r="L15" s="62"/>
      <c r="M15" s="62"/>
      <c r="N15" s="62" t="n">
        <f aca="false">M15+L15</f>
        <v>0</v>
      </c>
      <c r="O15" s="62"/>
      <c r="P15" s="62"/>
      <c r="R15" s="62"/>
    </row>
    <row r="16" customFormat="false" ht="12.75" hidden="false" customHeight="true" outlineLevel="4" collapsed="false">
      <c r="A16" s="57" t="s">
        <v>51</v>
      </c>
      <c r="B16" s="58" t="n">
        <f aca="false">D16+R16</f>
        <v>-6936.066</v>
      </c>
      <c r="C16" s="58"/>
      <c r="D16" s="62" t="n">
        <f aca="false">SUM(E16:M16)+O16+P16</f>
        <v>-9055.47</v>
      </c>
      <c r="E16" s="62" t="n">
        <f aca="false">[18]03YTD!J$43*-1+34</f>
        <v>-847.696</v>
      </c>
      <c r="F16" s="62" t="n">
        <f aca="false">[18]03YTD!K$43*-1</f>
        <v>-0</v>
      </c>
      <c r="G16" s="62" t="n">
        <f aca="false">[18]03YTD!L$43*-1</f>
        <v>-6451.653</v>
      </c>
      <c r="H16" s="62" t="n">
        <f aca="false">[18]03YTD!M$43*-1</f>
        <v>-1756.121</v>
      </c>
      <c r="I16" s="62" t="n">
        <f aca="false">[18]03YTD!N$43*-1</f>
        <v>-0</v>
      </c>
      <c r="J16" s="62" t="n">
        <f aca="false">[16]01YTD!O$43*-1</f>
        <v>-0</v>
      </c>
      <c r="K16" s="62" t="n">
        <f aca="false">[16]01YTD!P$43*-1</f>
        <v>-0</v>
      </c>
      <c r="L16" s="62" t="n">
        <f aca="false">[16]01YTD!Q$43*-1</f>
        <v>-0</v>
      </c>
      <c r="M16" s="62" t="n">
        <f aca="false">[16]01YTD!R$43*-1</f>
        <v>-0</v>
      </c>
      <c r="N16" s="62" t="n">
        <f aca="false">M16+L16</f>
        <v>-0</v>
      </c>
      <c r="O16" s="62" t="n">
        <f aca="false">[18]03YTD!U$43*-1</f>
        <v>-0</v>
      </c>
      <c r="P16" s="62" t="n">
        <f aca="false">[18]03YTD!V$43*-1</f>
        <v>-0</v>
      </c>
      <c r="R16" s="62" t="n">
        <f aca="false">[18]03YTD!X$43*-1</f>
        <v>2119.404</v>
      </c>
    </row>
    <row r="17" customFormat="false" ht="12.75" hidden="false" customHeight="true" outlineLevel="4" collapsed="false">
      <c r="A17" s="57" t="s">
        <v>52</v>
      </c>
      <c r="B17" s="58" t="n">
        <f aca="false">D17+R17</f>
        <v>3282</v>
      </c>
      <c r="C17" s="58"/>
      <c r="D17" s="62" t="n">
        <f aca="false">SUM(E17:M17)+O17+P17</f>
        <v>1616</v>
      </c>
      <c r="E17" s="75" t="n">
        <v>800</v>
      </c>
      <c r="F17" s="75"/>
      <c r="G17" s="75"/>
      <c r="H17" s="75" t="n">
        <v>816</v>
      </c>
      <c r="I17" s="75"/>
      <c r="J17" s="75"/>
      <c r="K17" s="75"/>
      <c r="L17" s="75"/>
      <c r="M17" s="75"/>
      <c r="N17" s="62" t="n">
        <f aca="false">M17+L17</f>
        <v>0</v>
      </c>
      <c r="O17" s="75"/>
      <c r="P17" s="75"/>
      <c r="R17" s="75" t="n">
        <f aca="false">[19]MAR_YTD!$H$16</f>
        <v>1666</v>
      </c>
    </row>
    <row r="18" customFormat="false" ht="12.75" hidden="false" customHeight="true" outlineLevel="4" collapsed="false">
      <c r="A18" s="57" t="s">
        <v>53</v>
      </c>
      <c r="B18" s="63" t="n">
        <f aca="false">D18+R18</f>
        <v>-60977</v>
      </c>
      <c r="C18" s="58"/>
      <c r="D18" s="62" t="n">
        <f aca="false">SUM(E18:M18)+O18+P18</f>
        <v>-61232</v>
      </c>
      <c r="E18" s="64" t="n">
        <f aca="false">-2044-5074</f>
        <v>-7118</v>
      </c>
      <c r="F18" s="64" t="n">
        <f aca="false">322+1358-896</f>
        <v>784</v>
      </c>
      <c r="G18" s="64" t="n">
        <v>0</v>
      </c>
      <c r="H18" s="64"/>
      <c r="I18" s="64" t="n">
        <v>1</v>
      </c>
      <c r="J18" s="64" t="n">
        <v>-595</v>
      </c>
      <c r="K18" s="64" t="n">
        <v>58</v>
      </c>
      <c r="L18" s="64" t="n">
        <v>-119</v>
      </c>
      <c r="M18" s="64" t="n">
        <v>-50236</v>
      </c>
      <c r="N18" s="62" t="n">
        <f aca="false">M18+L18</f>
        <v>-50355</v>
      </c>
      <c r="O18" s="64" t="n">
        <v>-3965</v>
      </c>
      <c r="P18" s="64" t="n">
        <v>-42</v>
      </c>
      <c r="R18" s="64" t="n">
        <f aca="false">[19]MAR_YTD!$H$17</f>
        <v>255</v>
      </c>
    </row>
    <row r="19" customFormat="false" ht="12.75" hidden="false" customHeight="true" outlineLevel="4" collapsed="false">
      <c r="A19" s="57" t="s">
        <v>54</v>
      </c>
      <c r="B19" s="66" t="n">
        <f aca="false">SUM(B10:B18)</f>
        <v>50400.173</v>
      </c>
      <c r="C19" s="58"/>
      <c r="D19" s="66" t="n">
        <f aca="false">SUM(D10:D18)</f>
        <v>47651.935</v>
      </c>
      <c r="E19" s="66" t="n">
        <f aca="false">SUM(E10:E18)</f>
        <v>68843.31</v>
      </c>
      <c r="F19" s="66" t="n">
        <f aca="false">SUM(F10:F18)</f>
        <v>20064.214</v>
      </c>
      <c r="G19" s="66" t="n">
        <f aca="false">SUM(G10:G18)</f>
        <v>0</v>
      </c>
      <c r="H19" s="66" t="n">
        <f aca="false">SUM(H10:H18)</f>
        <v>992.81</v>
      </c>
      <c r="I19" s="66" t="n">
        <f aca="false">SUM(I10:I18)</f>
        <v>0.714999999999998</v>
      </c>
      <c r="J19" s="66" t="n">
        <f aca="false">SUM(J10:J18)</f>
        <v>-124.153</v>
      </c>
      <c r="K19" s="66" t="n">
        <f aca="false">SUM(K10:K18)</f>
        <v>120.014</v>
      </c>
      <c r="L19" s="66" t="n">
        <f aca="false">SUM(L10:L18)</f>
        <v>-100.306</v>
      </c>
      <c r="M19" s="66" t="n">
        <f aca="false">SUM(M10:M18)</f>
        <v>-50236</v>
      </c>
      <c r="N19" s="66" t="n">
        <f aca="false">SUM(N10:N18)</f>
        <v>-50336.306</v>
      </c>
      <c r="O19" s="66" t="n">
        <f aca="false">SUM(O10:O18)</f>
        <v>8133.332</v>
      </c>
      <c r="P19" s="66" t="n">
        <f aca="false">SUM(P10:P18)</f>
        <v>-42.001</v>
      </c>
      <c r="R19" s="66" t="n">
        <f aca="false">SUM(R10:R18)</f>
        <v>2748.238</v>
      </c>
    </row>
    <row r="20" customFormat="false" ht="12.75" hidden="false" customHeight="true" outlineLevel="4" collapsed="false">
      <c r="A20" s="57"/>
      <c r="B20" s="42"/>
      <c r="C20" s="58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R20" s="42"/>
    </row>
    <row r="21" customFormat="false" ht="12.75" hidden="false" customHeight="true" outlineLevel="4" collapsed="false">
      <c r="A21" s="57" t="s">
        <v>103</v>
      </c>
      <c r="B21" s="58"/>
      <c r="C21" s="58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R21" s="42"/>
    </row>
    <row r="22" customFormat="false" ht="12.75" hidden="false" customHeight="true" outlineLevel="4" collapsed="false">
      <c r="A22" s="57" t="s">
        <v>56</v>
      </c>
      <c r="B22" s="58" t="n">
        <f aca="false">D22+R22</f>
        <v>168</v>
      </c>
      <c r="C22" s="58"/>
      <c r="D22" s="62" t="n">
        <f aca="false">SUM(E22:M22)+O22+P22</f>
        <v>-3089</v>
      </c>
      <c r="E22" s="62" t="n">
        <v>-2085</v>
      </c>
      <c r="F22" s="62" t="n">
        <v>260</v>
      </c>
      <c r="G22" s="62"/>
      <c r="H22" s="62" t="n">
        <v>-38</v>
      </c>
      <c r="I22" s="62" t="n">
        <v>7</v>
      </c>
      <c r="J22" s="62" t="n">
        <v>-344</v>
      </c>
      <c r="K22" s="62" t="n">
        <v>163</v>
      </c>
      <c r="L22" s="62" t="n">
        <v>40</v>
      </c>
      <c r="M22" s="62"/>
      <c r="N22" s="62"/>
      <c r="O22" s="62" t="n">
        <v>-1030</v>
      </c>
      <c r="P22" s="62" t="n">
        <v>-62</v>
      </c>
      <c r="R22" s="62" t="n">
        <f aca="false">[19]MAR_YTD!$H20</f>
        <v>3257</v>
      </c>
    </row>
    <row r="23" customFormat="false" ht="12.75" hidden="false" customHeight="true" outlineLevel="4" collapsed="false">
      <c r="A23" s="57" t="s">
        <v>58</v>
      </c>
      <c r="B23" s="58" t="n">
        <f aca="false">D23+R23</f>
        <v>9900</v>
      </c>
      <c r="C23" s="58"/>
      <c r="D23" s="62" t="n">
        <f aca="false">SUM(E23:M23)+O23+P23</f>
        <v>9900</v>
      </c>
      <c r="E23" s="62" t="n">
        <v>-1240</v>
      </c>
      <c r="F23" s="62" t="n">
        <v>-3307</v>
      </c>
      <c r="G23" s="62"/>
      <c r="H23" s="62"/>
      <c r="I23" s="62" t="n">
        <v>-7</v>
      </c>
      <c r="J23" s="62" t="n">
        <v>3287</v>
      </c>
      <c r="K23" s="62" t="n">
        <v>-489</v>
      </c>
      <c r="L23" s="62" t="n">
        <v>143</v>
      </c>
      <c r="M23" s="62" t="n">
        <v>-33</v>
      </c>
      <c r="N23" s="62" t="n">
        <f aca="false">M23+L23</f>
        <v>110</v>
      </c>
      <c r="O23" s="62" t="n">
        <v>11397</v>
      </c>
      <c r="P23" s="62" t="n">
        <v>149</v>
      </c>
      <c r="R23" s="62" t="n">
        <f aca="false">[19]MAR_YTD!$H21</f>
        <v>0</v>
      </c>
    </row>
    <row r="24" customFormat="false" ht="12.75" hidden="false" customHeight="true" outlineLevel="4" collapsed="false">
      <c r="A24" s="57" t="s">
        <v>60</v>
      </c>
      <c r="B24" s="58" t="n">
        <f aca="false">D24+R24</f>
        <v>131</v>
      </c>
      <c r="C24" s="58"/>
      <c r="D24" s="62" t="n">
        <f aca="false">SUM(E24:M24)+O24+P24</f>
        <v>131</v>
      </c>
      <c r="E24" s="62" t="n">
        <v>16</v>
      </c>
      <c r="F24" s="62" t="n">
        <v>115</v>
      </c>
      <c r="G24" s="62"/>
      <c r="H24" s="62"/>
      <c r="I24" s="62"/>
      <c r="J24" s="62"/>
      <c r="K24" s="62"/>
      <c r="L24" s="62"/>
      <c r="M24" s="62"/>
      <c r="N24" s="62" t="n">
        <f aca="false">M24+L24</f>
        <v>0</v>
      </c>
      <c r="O24" s="62"/>
      <c r="P24" s="62"/>
      <c r="R24" s="62" t="n">
        <f aca="false">[19]MAR_YTD!$H22</f>
        <v>0</v>
      </c>
    </row>
    <row r="25" customFormat="false" ht="12.75" hidden="false" customHeight="true" outlineLevel="4" collapsed="false">
      <c r="A25" s="57" t="s">
        <v>61</v>
      </c>
      <c r="B25" s="58" t="n">
        <f aca="false">D25+R25</f>
        <v>3</v>
      </c>
      <c r="C25" s="58"/>
      <c r="D25" s="62" t="n">
        <f aca="false">SUM(E25:M25)+O25+P25</f>
        <v>3</v>
      </c>
      <c r="E25" s="62" t="n">
        <v>0</v>
      </c>
      <c r="F25" s="62" t="n">
        <v>3</v>
      </c>
      <c r="G25" s="62"/>
      <c r="H25" s="62"/>
      <c r="I25" s="62"/>
      <c r="J25" s="62"/>
      <c r="K25" s="62"/>
      <c r="L25" s="62"/>
      <c r="M25" s="62"/>
      <c r="N25" s="62" t="n">
        <f aca="false">M25+L25</f>
        <v>0</v>
      </c>
      <c r="O25" s="62"/>
      <c r="P25" s="62"/>
      <c r="R25" s="62" t="n">
        <f aca="false">[19]MAR_YTD!$H23</f>
        <v>0</v>
      </c>
    </row>
    <row r="26" customFormat="false" ht="12.75" hidden="false" customHeight="true" outlineLevel="4" collapsed="false">
      <c r="A26" s="57" t="s">
        <v>62</v>
      </c>
      <c r="B26" s="58" t="n">
        <f aca="false">D26+R26</f>
        <v>-16798</v>
      </c>
      <c r="C26" s="58"/>
      <c r="D26" s="62" t="n">
        <f aca="false">SUM(E26:M26)+O26+P26</f>
        <v>-16790</v>
      </c>
      <c r="E26" s="62" t="n">
        <v>-12195</v>
      </c>
      <c r="F26" s="62" t="n">
        <v>-2221</v>
      </c>
      <c r="G26" s="62"/>
      <c r="H26" s="62" t="n">
        <v>-512</v>
      </c>
      <c r="I26" s="62"/>
      <c r="J26" s="62" t="n">
        <v>-96</v>
      </c>
      <c r="K26" s="62" t="n">
        <v>4</v>
      </c>
      <c r="L26" s="62" t="n">
        <v>-74</v>
      </c>
      <c r="M26" s="62"/>
      <c r="N26" s="62" t="n">
        <f aca="false">M26+L26</f>
        <v>-74</v>
      </c>
      <c r="O26" s="62" t="n">
        <v>-1592</v>
      </c>
      <c r="P26" s="62" t="n">
        <v>-104</v>
      </c>
      <c r="R26" s="62" t="n">
        <f aca="false">[19]MAR_YTD!$H$25</f>
        <v>-8</v>
      </c>
    </row>
    <row r="27" customFormat="false" ht="12.75" hidden="false" customHeight="true" outlineLevel="4" collapsed="false">
      <c r="A27" s="57" t="s">
        <v>104</v>
      </c>
      <c r="B27" s="58" t="n">
        <f aca="false">D27+R27</f>
        <v>3522</v>
      </c>
      <c r="C27" s="58"/>
      <c r="D27" s="62" t="n">
        <f aca="false">SUM(E27:M27)+O27+P27</f>
        <v>3522</v>
      </c>
      <c r="E27" s="62" t="n">
        <v>4633</v>
      </c>
      <c r="F27" s="62" t="n">
        <v>-1111</v>
      </c>
      <c r="G27" s="62"/>
      <c r="H27" s="62"/>
      <c r="I27" s="62"/>
      <c r="J27" s="62"/>
      <c r="K27" s="62"/>
      <c r="L27" s="62"/>
      <c r="M27" s="62"/>
      <c r="N27" s="62" t="n">
        <f aca="false">M27+L27</f>
        <v>0</v>
      </c>
      <c r="O27" s="62"/>
      <c r="P27" s="62"/>
      <c r="R27" s="62"/>
    </row>
    <row r="28" customFormat="false" ht="12.75" hidden="false" customHeight="true" outlineLevel="4" collapsed="false">
      <c r="A28" s="57" t="s">
        <v>64</v>
      </c>
      <c r="B28" s="58" t="n">
        <f aca="false">D28+R28</f>
        <v>1629</v>
      </c>
      <c r="C28" s="58"/>
      <c r="D28" s="62" t="n">
        <f aca="false">SUM(E28:M28)+O28+P28</f>
        <v>1601</v>
      </c>
      <c r="E28" s="62" t="n">
        <v>2727</v>
      </c>
      <c r="F28" s="62" t="n">
        <v>1580</v>
      </c>
      <c r="G28" s="62"/>
      <c r="H28" s="62" t="n">
        <v>-1</v>
      </c>
      <c r="I28" s="62"/>
      <c r="J28" s="62" t="n">
        <v>-2</v>
      </c>
      <c r="K28" s="62" t="n">
        <v>-2</v>
      </c>
      <c r="L28" s="62"/>
      <c r="M28" s="62" t="n">
        <v>-2701</v>
      </c>
      <c r="N28" s="62" t="n">
        <f aca="false">M28+L28</f>
        <v>-2701</v>
      </c>
      <c r="O28" s="62" t="n">
        <v>0</v>
      </c>
      <c r="P28" s="62"/>
      <c r="R28" s="62" t="n">
        <f aca="false">[19]MAR_YTD!$H$27</f>
        <v>28</v>
      </c>
    </row>
    <row r="29" customFormat="false" ht="12.75" hidden="false" customHeight="true" outlineLevel="4" collapsed="false">
      <c r="A29" s="57" t="s">
        <v>65</v>
      </c>
      <c r="B29" s="58" t="n">
        <f aca="false">D29+R29</f>
        <v>1070</v>
      </c>
      <c r="C29" s="58"/>
      <c r="D29" s="62" t="n">
        <f aca="false">SUM(E29:M29)+O29+P29</f>
        <v>1070</v>
      </c>
      <c r="E29" s="75" t="n">
        <v>3563</v>
      </c>
      <c r="F29" s="75" t="n">
        <v>-2493</v>
      </c>
      <c r="G29" s="75"/>
      <c r="H29" s="75"/>
      <c r="I29" s="75"/>
      <c r="J29" s="75"/>
      <c r="K29" s="75"/>
      <c r="L29" s="75"/>
      <c r="M29" s="75"/>
      <c r="N29" s="62" t="n">
        <f aca="false">M29+L29</f>
        <v>0</v>
      </c>
      <c r="O29" s="75"/>
      <c r="P29" s="75"/>
      <c r="R29" s="62"/>
    </row>
    <row r="30" customFormat="false" ht="12.75" hidden="false" customHeight="true" outlineLevel="4" collapsed="false">
      <c r="A30" s="57" t="s">
        <v>66</v>
      </c>
      <c r="B30" s="63" t="n">
        <f aca="false">D30+R30</f>
        <v>-12802</v>
      </c>
      <c r="C30" s="58"/>
      <c r="D30" s="62" t="n">
        <f aca="false">SUM(E30:M30)+O30+P30</f>
        <v>-12802</v>
      </c>
      <c r="E30" s="64" t="n">
        <v>-8951</v>
      </c>
      <c r="F30" s="64" t="n">
        <v>-410</v>
      </c>
      <c r="G30" s="64"/>
      <c r="H30" s="64" t="n">
        <v>-897</v>
      </c>
      <c r="I30" s="64"/>
      <c r="J30" s="64"/>
      <c r="K30" s="64"/>
      <c r="L30" s="64" t="n">
        <v>3</v>
      </c>
      <c r="M30" s="64"/>
      <c r="N30" s="64" t="n">
        <f aca="false">M30+L30</f>
        <v>3</v>
      </c>
      <c r="O30" s="64" t="n">
        <v>-2547</v>
      </c>
      <c r="P30" s="64"/>
      <c r="R30" s="62" t="n">
        <f aca="false">[19]MAR_YTD!$H28</f>
        <v>0</v>
      </c>
    </row>
    <row r="31" customFormat="false" ht="12.75" hidden="false" customHeight="true" outlineLevel="4" collapsed="false">
      <c r="A31" s="57" t="s">
        <v>67</v>
      </c>
      <c r="B31" s="67" t="n">
        <f aca="false">SUM(B21:B30)</f>
        <v>-13177</v>
      </c>
      <c r="C31" s="68"/>
      <c r="D31" s="67" t="n">
        <f aca="false">SUM(D21:D30)</f>
        <v>-16454</v>
      </c>
      <c r="E31" s="67" t="n">
        <f aca="false">SUM(E21:E30)</f>
        <v>-13532</v>
      </c>
      <c r="F31" s="67" t="n">
        <f aca="false">SUM(F21:F30)</f>
        <v>-7584</v>
      </c>
      <c r="G31" s="67" t="n">
        <f aca="false">SUM(G21:G30)</f>
        <v>0</v>
      </c>
      <c r="H31" s="67" t="n">
        <f aca="false">SUM(H21:H30)</f>
        <v>-1448</v>
      </c>
      <c r="I31" s="67" t="n">
        <f aca="false">SUM(I21:I30)</f>
        <v>0</v>
      </c>
      <c r="J31" s="67" t="n">
        <f aca="false">SUM(J21:J30)</f>
        <v>2845</v>
      </c>
      <c r="K31" s="67" t="n">
        <f aca="false">SUM(K21:K30)</f>
        <v>-324</v>
      </c>
      <c r="L31" s="67" t="n">
        <f aca="false">SUM(L21:L30)</f>
        <v>112</v>
      </c>
      <c r="M31" s="67" t="n">
        <f aca="false">SUM(M21:M30)</f>
        <v>-2734</v>
      </c>
      <c r="N31" s="67" t="n">
        <f aca="false">SUM(N21:N30)</f>
        <v>-2662</v>
      </c>
      <c r="O31" s="67" t="n">
        <f aca="false">SUM(O21:O30)</f>
        <v>6228</v>
      </c>
      <c r="P31" s="67" t="n">
        <f aca="false">SUM(P21:P30)</f>
        <v>-17</v>
      </c>
      <c r="R31" s="67" t="n">
        <f aca="false">SUM(R21:R30)</f>
        <v>3277</v>
      </c>
    </row>
    <row r="32" customFormat="false" ht="12.75" hidden="false" customHeight="true" outlineLevel="4" collapsed="false">
      <c r="A32" s="57"/>
      <c r="B32" s="69"/>
      <c r="C32" s="68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42"/>
      <c r="R32" s="69"/>
    </row>
    <row r="33" customFormat="false" ht="12.75" hidden="false" customHeight="true" outlineLevel="3" collapsed="false">
      <c r="A33" s="57" t="s">
        <v>68</v>
      </c>
      <c r="B33" s="70" t="n">
        <f aca="false">B19+B31</f>
        <v>37223.173</v>
      </c>
      <c r="C33" s="58"/>
      <c r="D33" s="70" t="n">
        <f aca="false">D19+D31</f>
        <v>31197.935</v>
      </c>
      <c r="E33" s="70" t="n">
        <f aca="false">E19+E31</f>
        <v>55311.31</v>
      </c>
      <c r="F33" s="70" t="n">
        <f aca="false">F19+F31</f>
        <v>12480.214</v>
      </c>
      <c r="G33" s="70" t="n">
        <f aca="false">G19+G31</f>
        <v>0</v>
      </c>
      <c r="H33" s="70" t="n">
        <f aca="false">H19+H31</f>
        <v>-455.19</v>
      </c>
      <c r="I33" s="70" t="n">
        <f aca="false">I19+I31</f>
        <v>0.714999999999998</v>
      </c>
      <c r="J33" s="70" t="n">
        <f aca="false">J19+J31</f>
        <v>2720.847</v>
      </c>
      <c r="K33" s="70" t="n">
        <f aca="false">K19+K31</f>
        <v>-203.986</v>
      </c>
      <c r="L33" s="70" t="n">
        <f aca="false">L19+L31</f>
        <v>11.694</v>
      </c>
      <c r="M33" s="70" t="n">
        <f aca="false">M19+M31</f>
        <v>-52970</v>
      </c>
      <c r="N33" s="70" t="n">
        <f aca="false">N19+N31</f>
        <v>-52998.306</v>
      </c>
      <c r="O33" s="70" t="n">
        <f aca="false">O19+O31</f>
        <v>14361.332</v>
      </c>
      <c r="P33" s="70" t="n">
        <f aca="false">P19+P31</f>
        <v>-59.001</v>
      </c>
      <c r="R33" s="70" t="n">
        <f aca="false">R19+R31</f>
        <v>6025.238</v>
      </c>
    </row>
    <row r="34" customFormat="false" ht="12.75" hidden="false" customHeight="true" outlineLevel="3" collapsed="false">
      <c r="B34" s="58"/>
      <c r="C34" s="58"/>
    </row>
    <row r="35" customFormat="false" ht="12.75" hidden="false" customHeight="true" outlineLevel="3" collapsed="false">
      <c r="A35" s="61" t="s">
        <v>69</v>
      </c>
      <c r="B35" s="58"/>
      <c r="C35" s="58"/>
    </row>
    <row r="36" customFormat="false" ht="12.75" hidden="false" customHeight="true" outlineLevel="4" collapsed="false">
      <c r="A36" s="57" t="s">
        <v>70</v>
      </c>
      <c r="B36" s="58" t="n">
        <f aca="false">D36+R36</f>
        <v>7089</v>
      </c>
      <c r="C36" s="58"/>
      <c r="D36" s="62" t="n">
        <f aca="false">SUM(E36:M36)+O36+P36</f>
        <v>7089</v>
      </c>
      <c r="E36" s="76" t="n">
        <v>7089</v>
      </c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R36" s="76"/>
    </row>
    <row r="37" customFormat="false" ht="12.75" hidden="false" customHeight="true" outlineLevel="4" collapsed="false">
      <c r="A37" s="57" t="s">
        <v>71</v>
      </c>
      <c r="B37" s="58" t="n">
        <f aca="false">D37+R37</f>
        <v>-9919</v>
      </c>
      <c r="C37" s="58"/>
      <c r="D37" s="62" t="n">
        <f aca="false">SUM(E37:M37)+O37+P37</f>
        <v>-9919</v>
      </c>
      <c r="E37" s="76" t="n">
        <v>-6109</v>
      </c>
      <c r="F37" s="76" t="n">
        <v>-3810</v>
      </c>
      <c r="G37" s="76"/>
      <c r="H37" s="76"/>
      <c r="I37" s="76"/>
      <c r="J37" s="76"/>
      <c r="K37" s="76"/>
      <c r="L37" s="76"/>
      <c r="M37" s="76"/>
      <c r="N37" s="76"/>
      <c r="O37" s="76"/>
      <c r="P37" s="76"/>
      <c r="R37" s="76"/>
    </row>
    <row r="38" customFormat="false" ht="12.75" hidden="false" customHeight="true" outlineLevel="4" collapsed="false">
      <c r="A38" s="57" t="s">
        <v>105</v>
      </c>
      <c r="B38" s="58" t="n">
        <f aca="false">D38+R38</f>
        <v>-319</v>
      </c>
      <c r="C38" s="58"/>
      <c r="D38" s="62" t="n">
        <f aca="false">SUM(E38:M38)+O38+P38</f>
        <v>-319</v>
      </c>
      <c r="E38" s="76" t="n">
        <f aca="false">-298-275</f>
        <v>-573</v>
      </c>
      <c r="F38" s="76" t="n">
        <f aca="false">223+31</f>
        <v>254</v>
      </c>
      <c r="G38" s="76"/>
      <c r="H38" s="76"/>
      <c r="I38" s="76"/>
      <c r="J38" s="76"/>
      <c r="K38" s="76"/>
      <c r="L38" s="76"/>
      <c r="M38" s="76"/>
      <c r="N38" s="76"/>
      <c r="O38" s="76"/>
      <c r="P38" s="76"/>
      <c r="R38" s="76"/>
    </row>
    <row r="39" customFormat="false" ht="12.75" hidden="false" customHeight="true" outlineLevel="4" collapsed="false">
      <c r="A39" s="57" t="s">
        <v>120</v>
      </c>
      <c r="B39" s="58" t="n">
        <f aca="false">D39+R39</f>
        <v>-12700</v>
      </c>
      <c r="C39" s="58"/>
      <c r="D39" s="62" t="n">
        <f aca="false">SUM(E39:P39)</f>
        <v>0</v>
      </c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R39" s="76" t="n">
        <f aca="false">[19]MAR_YTD!$H$38</f>
        <v>-12700</v>
      </c>
    </row>
    <row r="40" customFormat="false" ht="12.75" hidden="false" customHeight="true" outlineLevel="4" collapsed="false">
      <c r="A40" s="57" t="s">
        <v>76</v>
      </c>
      <c r="B40" s="58" t="n">
        <f aca="false">D40+R40</f>
        <v>0</v>
      </c>
      <c r="C40" s="58"/>
      <c r="D40" s="62" t="n">
        <f aca="false">SUM(E40:P40)</f>
        <v>0</v>
      </c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R40" s="76"/>
    </row>
    <row r="41" customFormat="false" ht="12.75" hidden="false" customHeight="true" outlineLevel="4" collapsed="false">
      <c r="A41" s="57" t="s">
        <v>77</v>
      </c>
      <c r="B41" s="63" t="n">
        <f aca="false">D41+R41</f>
        <v>-1847</v>
      </c>
      <c r="C41" s="58"/>
      <c r="D41" s="64" t="n">
        <f aca="false">SUM(E41:M41)+O41+P41</f>
        <v>-1847</v>
      </c>
      <c r="E41" s="64" t="n">
        <v>-1847</v>
      </c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R41" s="64"/>
    </row>
    <row r="42" customFormat="false" ht="12.75" hidden="false" customHeight="true" outlineLevel="3" collapsed="false">
      <c r="A42" s="57" t="s">
        <v>78</v>
      </c>
      <c r="B42" s="70" t="n">
        <f aca="false">SUM(B36:B41)</f>
        <v>-17696</v>
      </c>
      <c r="C42" s="71" t="n">
        <f aca="false">SUM(C36:C41)</f>
        <v>0</v>
      </c>
      <c r="D42" s="70" t="n">
        <f aca="false">SUM(D36:D41)</f>
        <v>-4996</v>
      </c>
      <c r="E42" s="70" t="n">
        <f aca="false">SUM(E36:E41)</f>
        <v>-1440</v>
      </c>
      <c r="F42" s="70" t="n">
        <f aca="false">SUM(F36:F41)</f>
        <v>-3556</v>
      </c>
      <c r="G42" s="70" t="n">
        <f aca="false">SUM(G36:G41)</f>
        <v>0</v>
      </c>
      <c r="H42" s="70" t="n">
        <f aca="false">SUM(H36:H41)</f>
        <v>0</v>
      </c>
      <c r="I42" s="70" t="n">
        <f aca="false">SUM(I36:I41)</f>
        <v>0</v>
      </c>
      <c r="J42" s="70" t="n">
        <f aca="false">SUM(J36:J41)</f>
        <v>0</v>
      </c>
      <c r="K42" s="70" t="n">
        <f aca="false">SUM(K36:K41)</f>
        <v>0</v>
      </c>
      <c r="L42" s="70" t="n">
        <f aca="false">SUM(L36:L41)</f>
        <v>0</v>
      </c>
      <c r="M42" s="70" t="n">
        <f aca="false">SUM(M36:M41)</f>
        <v>0</v>
      </c>
      <c r="N42" s="70"/>
      <c r="O42" s="70" t="n">
        <f aca="false">SUM(O36:O41)</f>
        <v>0</v>
      </c>
      <c r="P42" s="70" t="n">
        <f aca="false">SUM(P36:P41)</f>
        <v>0</v>
      </c>
      <c r="R42" s="70" t="n">
        <f aca="false">SUM(R36:R41)</f>
        <v>-12700</v>
      </c>
    </row>
    <row r="43" customFormat="false" ht="12.75" hidden="false" customHeight="true" outlineLevel="3" collapsed="false">
      <c r="B43" s="58"/>
      <c r="C43" s="58"/>
    </row>
    <row r="44" customFormat="false" ht="12.75" hidden="false" customHeight="true" outlineLevel="3" collapsed="false">
      <c r="A44" s="61" t="s">
        <v>79</v>
      </c>
      <c r="B44" s="58"/>
      <c r="C44" s="58"/>
    </row>
    <row r="45" customFormat="false" ht="12.75" hidden="false" customHeight="true" outlineLevel="4" collapsed="false">
      <c r="A45" s="57" t="s">
        <v>80</v>
      </c>
      <c r="B45" s="58" t="n">
        <f aca="false">D45+R45</f>
        <v>0</v>
      </c>
      <c r="C45" s="58"/>
      <c r="D45" s="62" t="n">
        <f aca="false">SUM(E45:P45)</f>
        <v>0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R45" s="62"/>
    </row>
    <row r="46" customFormat="false" ht="12.75" hidden="false" customHeight="true" outlineLevel="4" collapsed="false">
      <c r="A46" s="57" t="s">
        <v>81</v>
      </c>
      <c r="B46" s="58" t="n">
        <f aca="false">D46+R46</f>
        <v>150000</v>
      </c>
      <c r="C46" s="58"/>
      <c r="D46" s="62" t="n">
        <f aca="false">SUM(E46:M46)+O46+P46</f>
        <v>150000</v>
      </c>
      <c r="E46" s="62" t="n">
        <v>0</v>
      </c>
      <c r="F46" s="62" t="n">
        <v>150000</v>
      </c>
      <c r="G46" s="62"/>
      <c r="H46" s="62"/>
      <c r="I46" s="62"/>
      <c r="J46" s="62"/>
      <c r="K46" s="62"/>
      <c r="L46" s="62"/>
      <c r="M46" s="62"/>
      <c r="N46" s="62"/>
      <c r="O46" s="62"/>
      <c r="P46" s="62"/>
      <c r="R46" s="62"/>
    </row>
    <row r="47" customFormat="false" ht="12.75" hidden="false" customHeight="true" outlineLevel="4" collapsed="false">
      <c r="A47" s="57" t="s">
        <v>83</v>
      </c>
      <c r="B47" s="58" t="n">
        <f aca="false">D47+R47</f>
        <v>-100000</v>
      </c>
      <c r="C47" s="58"/>
      <c r="D47" s="62" t="n">
        <f aca="false">SUM(E47:P47)</f>
        <v>-100000</v>
      </c>
      <c r="E47" s="62"/>
      <c r="F47" s="62" t="n">
        <v>-100000</v>
      </c>
      <c r="G47" s="62"/>
      <c r="H47" s="62"/>
      <c r="I47" s="62"/>
      <c r="J47" s="62"/>
      <c r="K47" s="62"/>
      <c r="L47" s="62"/>
      <c r="M47" s="62"/>
      <c r="N47" s="62"/>
      <c r="O47" s="62"/>
      <c r="P47" s="62"/>
      <c r="R47" s="62"/>
    </row>
    <row r="48" customFormat="false" ht="12.75" hidden="false" customHeight="true" outlineLevel="4" collapsed="false">
      <c r="A48" s="57" t="s">
        <v>84</v>
      </c>
      <c r="B48" s="58" t="n">
        <f aca="false">D48+R48</f>
        <v>0</v>
      </c>
      <c r="C48" s="58"/>
      <c r="D48" s="62" t="n">
        <f aca="false">SUM(E48:M48)+O48+P48</f>
        <v>0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R48" s="62"/>
    </row>
    <row r="49" customFormat="false" ht="12.75" hidden="false" customHeight="true" outlineLevel="4" collapsed="false">
      <c r="A49" s="57" t="s">
        <v>107</v>
      </c>
      <c r="B49" s="58" t="n">
        <f aca="false">D49+R49</f>
        <v>0</v>
      </c>
      <c r="C49" s="58"/>
      <c r="D49" s="62" t="n">
        <f aca="false">SUM(E49:P49)</f>
        <v>0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R49" s="75"/>
    </row>
    <row r="50" customFormat="false" ht="12.75" hidden="false" customHeight="true" outlineLevel="3" collapsed="false">
      <c r="A50" s="57" t="s">
        <v>86</v>
      </c>
      <c r="B50" s="72" t="n">
        <f aca="false">SUM(B45:B49)</f>
        <v>50000</v>
      </c>
      <c r="C50" s="58"/>
      <c r="D50" s="72" t="n">
        <f aca="false">SUM(D45:D49)</f>
        <v>50000</v>
      </c>
      <c r="E50" s="72" t="n">
        <f aca="false">SUM(E45:E49)</f>
        <v>0</v>
      </c>
      <c r="F50" s="72" t="n">
        <f aca="false">SUM(F45:F49)</f>
        <v>50000</v>
      </c>
      <c r="G50" s="72" t="n">
        <f aca="false">SUM(G45:G49)</f>
        <v>0</v>
      </c>
      <c r="H50" s="72" t="n">
        <f aca="false">SUM(H45:H49)</f>
        <v>0</v>
      </c>
      <c r="I50" s="72" t="n">
        <f aca="false">SUM(I45:I49)</f>
        <v>0</v>
      </c>
      <c r="J50" s="72" t="n">
        <f aca="false">SUM(J45:J49)</f>
        <v>0</v>
      </c>
      <c r="K50" s="72" t="n">
        <f aca="false">SUM(K45:K49)</f>
        <v>0</v>
      </c>
      <c r="L50" s="72" t="n">
        <f aca="false">SUM(L45:L49)</f>
        <v>0</v>
      </c>
      <c r="M50" s="72" t="n">
        <f aca="false">SUM(M45:M49)</f>
        <v>0</v>
      </c>
      <c r="N50" s="72"/>
      <c r="O50" s="72" t="n">
        <f aca="false">SUM(O45:O49)</f>
        <v>0</v>
      </c>
      <c r="P50" s="72" t="n">
        <f aca="false">SUM(P45:P49)</f>
        <v>0</v>
      </c>
      <c r="R50" s="72" t="n">
        <f aca="false">SUM(R45:R49)</f>
        <v>0</v>
      </c>
    </row>
    <row r="51" customFormat="false" ht="12.75" hidden="false" customHeight="true" outlineLevel="3" collapsed="false">
      <c r="A51" s="57"/>
      <c r="B51" s="71"/>
      <c r="C51" s="58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R51" s="71"/>
    </row>
    <row r="52" customFormat="false" ht="12.75" hidden="false" customHeight="true" outlineLevel="2" collapsed="false">
      <c r="A52" s="57" t="s">
        <v>87</v>
      </c>
      <c r="B52" s="71" t="n">
        <f aca="false">B33+B42+B50</f>
        <v>69527.173</v>
      </c>
      <c r="C52" s="58"/>
      <c r="D52" s="71" t="n">
        <f aca="false">D33+D42+D50</f>
        <v>76201.935</v>
      </c>
      <c r="E52" s="71" t="n">
        <f aca="false">E33+E42+E50</f>
        <v>53871.31</v>
      </c>
      <c r="F52" s="71" t="n">
        <f aca="false">F33+F42+F50</f>
        <v>58924.214</v>
      </c>
      <c r="G52" s="71" t="n">
        <f aca="false">G33+G42+G50</f>
        <v>0</v>
      </c>
      <c r="H52" s="71" t="n">
        <f aca="false">H33+H42+H50</f>
        <v>-455.19</v>
      </c>
      <c r="I52" s="71" t="n">
        <f aca="false">I33+I42+I50</f>
        <v>0.714999999999998</v>
      </c>
      <c r="J52" s="71" t="n">
        <f aca="false">J33+J42+J50</f>
        <v>2720.847</v>
      </c>
      <c r="K52" s="71" t="n">
        <f aca="false">K33+K42+K50</f>
        <v>-203.986</v>
      </c>
      <c r="L52" s="71" t="n">
        <f aca="false">L33+L42+L50</f>
        <v>11.694</v>
      </c>
      <c r="M52" s="71" t="n">
        <f aca="false">M33+M42+M50</f>
        <v>-52970</v>
      </c>
      <c r="N52" s="71" t="n">
        <f aca="false">M52+L52</f>
        <v>-52958.306</v>
      </c>
      <c r="O52" s="71" t="n">
        <f aca="false">O33+O42+O50</f>
        <v>14361.332</v>
      </c>
      <c r="P52" s="71" t="n">
        <f aca="false">P33+P42+P50</f>
        <v>-59.001</v>
      </c>
      <c r="R52" s="71" t="n">
        <f aca="false">R33+R42+R50</f>
        <v>-6674.762</v>
      </c>
    </row>
    <row r="53" customFormat="false" ht="12.75" hidden="false" customHeight="true" outlineLevel="2" collapsed="false">
      <c r="A53" s="57"/>
      <c r="B53" s="71"/>
      <c r="C53" s="58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R53" s="71"/>
    </row>
    <row r="54" customFormat="false" ht="12.75" hidden="false" customHeight="true" outlineLevel="2" collapsed="false">
      <c r="A54" s="57" t="s">
        <v>88</v>
      </c>
      <c r="B54" s="63" t="n">
        <f aca="false">D54+R54</f>
        <v>-3328</v>
      </c>
      <c r="C54" s="58"/>
      <c r="D54" s="64" t="n">
        <f aca="false">SUM(E54:M54)+O54+P54</f>
        <v>0</v>
      </c>
      <c r="E54" s="77" t="n">
        <v>0</v>
      </c>
      <c r="F54" s="77" t="n">
        <v>0</v>
      </c>
      <c r="G54" s="77" t="n">
        <v>0</v>
      </c>
      <c r="H54" s="77" t="n">
        <v>0</v>
      </c>
      <c r="I54" s="77" t="n">
        <v>0</v>
      </c>
      <c r="J54" s="77" t="n">
        <v>0</v>
      </c>
      <c r="K54" s="77" t="n">
        <v>0</v>
      </c>
      <c r="L54" s="77" t="n">
        <v>0</v>
      </c>
      <c r="M54" s="77" t="n">
        <v>0</v>
      </c>
      <c r="N54" s="77"/>
      <c r="O54" s="77" t="n">
        <v>0</v>
      </c>
      <c r="P54" s="77" t="n">
        <v>0</v>
      </c>
      <c r="R54" s="77" t="n">
        <f aca="false">[19]MAR_YTD!$H$52</f>
        <v>-3328</v>
      </c>
    </row>
    <row r="55" customFormat="false" ht="12.75" hidden="false" customHeight="true" outlineLevel="2" collapsed="false">
      <c r="A55" s="57"/>
      <c r="B55" s="58"/>
      <c r="C55" s="58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R55" s="73"/>
    </row>
    <row r="56" customFormat="false" ht="12.75" hidden="false" customHeight="true" outlineLevel="1" collapsed="false">
      <c r="A56" s="57" t="s">
        <v>89</v>
      </c>
      <c r="B56" s="74" t="n">
        <f aca="false">B54+B52</f>
        <v>66199.173</v>
      </c>
      <c r="C56" s="58"/>
      <c r="D56" s="74" t="n">
        <f aca="false">D54+D52</f>
        <v>76201.935</v>
      </c>
      <c r="E56" s="74" t="n">
        <f aca="false">E54+E52</f>
        <v>53871.31</v>
      </c>
      <c r="F56" s="74" t="n">
        <f aca="false">F54+F52</f>
        <v>58924.214</v>
      </c>
      <c r="G56" s="74" t="n">
        <f aca="false">G54+G52</f>
        <v>0</v>
      </c>
      <c r="H56" s="74" t="n">
        <f aca="false">H54+H52</f>
        <v>-455.19</v>
      </c>
      <c r="I56" s="74" t="n">
        <f aca="false">I54+I52</f>
        <v>0.714999999999998</v>
      </c>
      <c r="J56" s="74" t="n">
        <f aca="false">J54+J52</f>
        <v>2720.847</v>
      </c>
      <c r="K56" s="74" t="n">
        <f aca="false">K54+K52</f>
        <v>-203.986</v>
      </c>
      <c r="L56" s="74" t="n">
        <f aca="false">L52-L54</f>
        <v>11.694</v>
      </c>
      <c r="M56" s="74" t="n">
        <f aca="false">M52-M54</f>
        <v>-52970</v>
      </c>
      <c r="N56" s="74" t="n">
        <f aca="false">N54+N52</f>
        <v>-52958.306</v>
      </c>
      <c r="O56" s="74" t="n">
        <f aca="false">O54+O52</f>
        <v>14361.332</v>
      </c>
      <c r="P56" s="74" t="n">
        <f aca="false">P54+P52</f>
        <v>-59.001</v>
      </c>
      <c r="R56" s="74" t="n">
        <f aca="false">R54+R52</f>
        <v>-10002.762</v>
      </c>
    </row>
    <row r="57" customFormat="false" ht="12.75" hidden="false" customHeight="true" outlineLevel="1" collapsed="false">
      <c r="B57" s="42"/>
      <c r="C57" s="42"/>
    </row>
    <row r="58" customFormat="false" ht="12.75" hidden="false" customHeight="true" outlineLevel="0" collapsed="false">
      <c r="A58" s="40" t="s">
        <v>90</v>
      </c>
      <c r="B58" s="64" t="n">
        <f aca="false">D58+R58</f>
        <v>-50021</v>
      </c>
      <c r="C58" s="42"/>
      <c r="D58" s="64" t="n">
        <f aca="false">SUM(E58:P58)</f>
        <v>-50021</v>
      </c>
      <c r="E58" s="77" t="n">
        <v>-20</v>
      </c>
      <c r="F58" s="77" t="n">
        <v>-50000</v>
      </c>
      <c r="G58" s="77" t="n">
        <v>0</v>
      </c>
      <c r="H58" s="77" t="n">
        <v>0</v>
      </c>
      <c r="I58" s="77" t="n">
        <v>173</v>
      </c>
      <c r="J58" s="77" t="n">
        <v>-663</v>
      </c>
      <c r="K58" s="77" t="n">
        <v>489</v>
      </c>
      <c r="L58" s="77" t="n">
        <v>0</v>
      </c>
      <c r="M58" s="77" t="n">
        <v>0</v>
      </c>
      <c r="N58" s="77"/>
      <c r="O58" s="77" t="n">
        <v>0</v>
      </c>
      <c r="P58" s="77" t="n">
        <v>0</v>
      </c>
      <c r="R58" s="77" t="n">
        <v>0</v>
      </c>
    </row>
    <row r="59" customFormat="false" ht="12.75" hidden="false" customHeight="true" outlineLevel="0" collapsed="false">
      <c r="B59" s="42"/>
      <c r="C59" s="42"/>
    </row>
    <row r="60" customFormat="false" ht="12.75" hidden="false" customHeight="true" outlineLevel="0" collapsed="false">
      <c r="A60" s="40" t="s">
        <v>91</v>
      </c>
      <c r="B60" s="74" t="n">
        <f aca="false">B56+B58</f>
        <v>16178.173</v>
      </c>
      <c r="C60" s="42"/>
      <c r="D60" s="74" t="n">
        <f aca="false">D56+D58</f>
        <v>26180.935</v>
      </c>
      <c r="E60" s="74" t="n">
        <f aca="false">E56+E58</f>
        <v>53851.31</v>
      </c>
      <c r="F60" s="74" t="n">
        <f aca="false">F56+F58</f>
        <v>8924.21400000001</v>
      </c>
      <c r="G60" s="74" t="n">
        <f aca="false">G56+G58</f>
        <v>0</v>
      </c>
      <c r="H60" s="74" t="n">
        <f aca="false">H56+H58</f>
        <v>-455.19</v>
      </c>
      <c r="I60" s="74" t="n">
        <f aca="false">I56+I58</f>
        <v>173.715</v>
      </c>
      <c r="J60" s="74" t="n">
        <f aca="false">J56+J58</f>
        <v>2057.847</v>
      </c>
      <c r="K60" s="74" t="n">
        <f aca="false">K56+K58</f>
        <v>285.014</v>
      </c>
      <c r="L60" s="74" t="n">
        <f aca="false">L56+L58</f>
        <v>11.694</v>
      </c>
      <c r="M60" s="74" t="n">
        <f aca="false">M56+M58</f>
        <v>-52970</v>
      </c>
      <c r="N60" s="74" t="n">
        <f aca="false">M60+L60</f>
        <v>-52958.306</v>
      </c>
      <c r="O60" s="74" t="n">
        <f aca="false">O56+O58</f>
        <v>14361.332</v>
      </c>
      <c r="P60" s="74" t="n">
        <f aca="false">P56+P58</f>
        <v>-59.001</v>
      </c>
      <c r="R60" s="74" t="n">
        <f aca="false">R56+R58</f>
        <v>-10002.762</v>
      </c>
    </row>
    <row r="61" customFormat="false" ht="12.75" hidden="false" customHeight="true" outlineLevel="0" collapsed="false">
      <c r="B61" s="42"/>
      <c r="C61" s="42"/>
    </row>
    <row r="62" customFormat="false" ht="12.75" hidden="false" customHeight="true" outlineLevel="0" collapsed="false">
      <c r="B62" s="42"/>
      <c r="C62" s="42"/>
    </row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79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R28" activeCellId="0" sqref="R28"/>
    </sheetView>
  </sheetViews>
  <sheetFormatPr defaultColWidth="8.9921875" defaultRowHeight="12.75" customHeight="true" zeroHeight="false" outlineLevelRow="4" outlineLevelCol="0"/>
  <cols>
    <col collapsed="false" customWidth="true" hidden="false" outlineLevel="0" max="1" min="1" style="40" width="67.99"/>
    <col collapsed="false" customWidth="true" hidden="false" outlineLevel="0" max="2" min="2" style="40" width="14.49"/>
    <col collapsed="false" customWidth="true" hidden="false" outlineLevel="0" max="3" min="3" style="40" width="1.82"/>
    <col collapsed="false" customWidth="true" hidden="false" outlineLevel="0" max="4" min="4" style="40" width="11.82"/>
    <col collapsed="false" customWidth="true" hidden="false" outlineLevel="0" max="5" min="5" style="40" width="10.65"/>
    <col collapsed="false" customWidth="true" hidden="false" outlineLevel="0" max="6" min="6" style="40" width="10.82"/>
    <col collapsed="false" customWidth="true" hidden="false" outlineLevel="0" max="7" min="7" style="40" width="12.82"/>
    <col collapsed="false" customWidth="true" hidden="false" outlineLevel="0" max="11" min="8" style="40" width="10.82"/>
    <col collapsed="false" customWidth="true" hidden="true" outlineLevel="0" max="13" min="12" style="40" width="10.82"/>
    <col collapsed="false" customWidth="true" hidden="false" outlineLevel="0" max="15" min="14" style="40" width="12.16"/>
    <col collapsed="false" customWidth="true" hidden="false" outlineLevel="0" max="16" min="16" style="40" width="10.82"/>
    <col collapsed="false" customWidth="true" hidden="false" outlineLevel="0" max="17" min="17" style="40" width="3.65"/>
    <col collapsed="false" customWidth="true" hidden="false" outlineLevel="0" max="18" min="18" style="40" width="10.16"/>
    <col collapsed="false" customWidth="false" hidden="false" outlineLevel="0" max="257" min="19" style="40" width="8.99"/>
  </cols>
  <sheetData>
    <row r="1" customFormat="false" ht="12.75" hidden="false" customHeight="true" outlineLevel="0" collapsed="false">
      <c r="A1" s="41" t="s">
        <v>18</v>
      </c>
      <c r="B1" s="42"/>
      <c r="C1" s="42"/>
      <c r="D1" s="42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customFormat="false" ht="12.75" hidden="false" customHeight="true" outlineLevel="0" collapsed="false">
      <c r="A2" s="44" t="s">
        <v>19</v>
      </c>
      <c r="D2" s="45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customFormat="false" ht="12.75" hidden="false" customHeight="true" outlineLevel="0" collapsed="false">
      <c r="A3" s="47" t="s">
        <v>123</v>
      </c>
      <c r="B3" s="42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</row>
    <row r="4" customFormat="false" ht="12.75" hidden="false" customHeight="true" outlineLevel="0" collapsed="false">
      <c r="A4" s="42"/>
      <c r="B4" s="49" t="s">
        <v>97</v>
      </c>
      <c r="C4" s="50"/>
      <c r="D4" s="51"/>
      <c r="I4" s="52" t="s">
        <v>98</v>
      </c>
      <c r="J4" s="52" t="s">
        <v>28</v>
      </c>
      <c r="K4" s="52" t="s">
        <v>29</v>
      </c>
      <c r="L4" s="52" t="s">
        <v>30</v>
      </c>
      <c r="M4" s="52" t="s">
        <v>31</v>
      </c>
      <c r="N4" s="52" t="s">
        <v>30</v>
      </c>
      <c r="O4" s="52" t="s">
        <v>32</v>
      </c>
      <c r="R4" s="53" t="s">
        <v>21</v>
      </c>
    </row>
    <row r="5" customFormat="false" ht="12.75" hidden="false" customHeight="true" outlineLevel="0" collapsed="false">
      <c r="A5" s="54" t="s">
        <v>34</v>
      </c>
      <c r="B5" s="55" t="s">
        <v>100</v>
      </c>
      <c r="C5" s="52"/>
      <c r="D5" s="51" t="s">
        <v>35</v>
      </c>
      <c r="E5" s="51" t="s">
        <v>22</v>
      </c>
      <c r="F5" s="51" t="s">
        <v>23</v>
      </c>
      <c r="G5" s="51" t="s">
        <v>24</v>
      </c>
      <c r="H5" s="51" t="s">
        <v>25</v>
      </c>
      <c r="I5" s="51" t="n">
        <v>543</v>
      </c>
      <c r="J5" s="51" t="n">
        <v>584</v>
      </c>
      <c r="K5" s="51" t="n">
        <v>583</v>
      </c>
      <c r="L5" s="51" t="s">
        <v>36</v>
      </c>
      <c r="M5" s="51"/>
      <c r="N5" s="51" t="s">
        <v>37</v>
      </c>
      <c r="O5" s="51" t="s">
        <v>38</v>
      </c>
      <c r="P5" s="51" t="s">
        <v>33</v>
      </c>
      <c r="R5" s="56" t="s">
        <v>102</v>
      </c>
    </row>
    <row r="6" customFormat="false" ht="12.75" hidden="false" customHeight="true" outlineLevel="2" collapsed="false">
      <c r="A6" s="57"/>
      <c r="B6" s="58"/>
      <c r="C6" s="58"/>
      <c r="D6" s="59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</row>
    <row r="7" customFormat="false" ht="12.75" hidden="false" customHeight="true" outlineLevel="4" collapsed="false">
      <c r="A7" s="61" t="s">
        <v>39</v>
      </c>
      <c r="B7" s="58"/>
      <c r="C7" s="58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</row>
    <row r="8" customFormat="false" ht="12.75" hidden="false" customHeight="true" outlineLevel="4" collapsed="false">
      <c r="A8" s="57" t="s">
        <v>40</v>
      </c>
      <c r="B8" s="58" t="n">
        <f aca="false">D8+R8</f>
        <v>56159.543</v>
      </c>
      <c r="C8" s="58"/>
      <c r="D8" s="62" t="n">
        <f aca="false">SUM(E8:M8)+O8+P8</f>
        <v>57095.718</v>
      </c>
      <c r="E8" s="62" t="n">
        <f aca="false">[20]02YTD!J$65</f>
        <v>41275.297</v>
      </c>
      <c r="F8" s="62" t="n">
        <f aca="false">[20]02YTD!K$65</f>
        <v>9313.393</v>
      </c>
      <c r="G8" s="62" t="n">
        <f aca="false">[20]02YTD!L$65</f>
        <v>4387.268</v>
      </c>
      <c r="H8" s="62" t="n">
        <f aca="false">[20]02YTD!M$65</f>
        <v>596.937</v>
      </c>
      <c r="I8" s="62" t="n">
        <f aca="false">[20]02YTD!N$65</f>
        <v>0.00100000000000078</v>
      </c>
      <c r="J8" s="62" t="n">
        <f aca="false">[20]02YTD!O$65</f>
        <v>345.347</v>
      </c>
      <c r="K8" s="62" t="n">
        <f aca="false">[20]02YTD!P$65</f>
        <v>42.9329999999999</v>
      </c>
      <c r="L8" s="62" t="n">
        <f aca="false">[20]02YTD!Q$65</f>
        <v>-26</v>
      </c>
      <c r="M8" s="62" t="n">
        <f aca="false">[20]02YTD!R$65</f>
        <v>0</v>
      </c>
      <c r="N8" s="62" t="n">
        <f aca="false">M8+L8</f>
        <v>-26</v>
      </c>
      <c r="O8" s="62" t="n">
        <f aca="false">[20]02YTD!$U$65</f>
        <v>1160.542</v>
      </c>
      <c r="P8" s="62" t="n">
        <f aca="false">[20]02YTD!V$65</f>
        <v>0</v>
      </c>
      <c r="R8" s="40" t="n">
        <f aca="false">[21]FEB_YTD!$H$8</f>
        <v>-936.175</v>
      </c>
    </row>
    <row r="9" customFormat="false" ht="12.75" hidden="false" customHeight="true" outlineLevel="4" collapsed="false">
      <c r="A9" s="57" t="s">
        <v>41</v>
      </c>
      <c r="B9" s="63" t="n">
        <f aca="false">D9+R9</f>
        <v>6731.572</v>
      </c>
      <c r="C9" s="58"/>
      <c r="D9" s="64" t="n">
        <f aca="false">SUM(E9:M9)+O9+P9</f>
        <v>6731.572</v>
      </c>
      <c r="E9" s="64" t="n">
        <f aca="false">[20]02YTD!J$72*-1</f>
        <v>-2414.014</v>
      </c>
      <c r="F9" s="64" t="n">
        <f aca="false">[20]02YTD!K$72*-1</f>
        <v>483.38</v>
      </c>
      <c r="G9" s="64" t="n">
        <f aca="false">[20]02YTD!L$72*-1</f>
        <v>-0</v>
      </c>
      <c r="H9" s="64" t="n">
        <f aca="false">[20]02YTD!M$72*-1</f>
        <v>585.313</v>
      </c>
      <c r="I9" s="64" t="n">
        <f aca="false">[20]02YTD!N$72*-1</f>
        <v>-0</v>
      </c>
      <c r="J9" s="64" t="n">
        <f aca="false">[20]02YTD!O$72*-1</f>
        <v>54.233</v>
      </c>
      <c r="K9" s="64" t="n">
        <f aca="false">[20]02YTD!P$72*-1</f>
        <v>-0</v>
      </c>
      <c r="L9" s="64" t="n">
        <f aca="false">[20]02YTD!Q$72*-1</f>
        <v>-0</v>
      </c>
      <c r="M9" s="64" t="n">
        <f aca="false">[20]02YTD!R$72*-1</f>
        <v>-0</v>
      </c>
      <c r="N9" s="64" t="n">
        <f aca="false">M9+L9</f>
        <v>-0</v>
      </c>
      <c r="O9" s="64" t="n">
        <f aca="false">[20]02YTD!U$72*-1</f>
        <v>8022.66</v>
      </c>
      <c r="P9" s="64" t="n">
        <f aca="false">[20]02YTD!V$72*-1</f>
        <v>-0</v>
      </c>
      <c r="R9" s="50"/>
    </row>
    <row r="10" customFormat="false" ht="12.75" hidden="false" customHeight="true" outlineLevel="4" collapsed="false">
      <c r="A10" s="57" t="s">
        <v>42</v>
      </c>
      <c r="B10" s="65" t="n">
        <f aca="false">B8+B9</f>
        <v>62891.115</v>
      </c>
      <c r="C10" s="58"/>
      <c r="D10" s="65" t="n">
        <f aca="false">D8+D9</f>
        <v>63827.29</v>
      </c>
      <c r="E10" s="65" t="n">
        <f aca="false">E8+E9</f>
        <v>38861.283</v>
      </c>
      <c r="F10" s="65" t="n">
        <f aca="false">F8+F9</f>
        <v>9796.773</v>
      </c>
      <c r="G10" s="65" t="n">
        <f aca="false">G8+G9</f>
        <v>4387.268</v>
      </c>
      <c r="H10" s="65" t="n">
        <f aca="false">H8+H9</f>
        <v>1182.25</v>
      </c>
      <c r="I10" s="65" t="n">
        <f aca="false">I8+I9</f>
        <v>0.00100000000000078</v>
      </c>
      <c r="J10" s="65" t="n">
        <f aca="false">J8+J9</f>
        <v>399.58</v>
      </c>
      <c r="K10" s="65" t="n">
        <f aca="false">K8+K9</f>
        <v>42.9329999999999</v>
      </c>
      <c r="L10" s="65" t="n">
        <f aca="false">L8+L9</f>
        <v>-26</v>
      </c>
      <c r="M10" s="65" t="n">
        <f aca="false">M8+M9</f>
        <v>0</v>
      </c>
      <c r="N10" s="65" t="n">
        <f aca="false">N8</f>
        <v>-26</v>
      </c>
      <c r="O10" s="65" t="n">
        <f aca="false">O8+O9</f>
        <v>9183.202</v>
      </c>
      <c r="P10" s="65" t="n">
        <f aca="false">P8+P9</f>
        <v>0</v>
      </c>
      <c r="R10" s="65" t="n">
        <f aca="false">R8+R9</f>
        <v>-936.175</v>
      </c>
    </row>
    <row r="11" customFormat="false" ht="12.75" hidden="false" customHeight="true" outlineLevel="4" collapsed="false">
      <c r="A11" s="57"/>
      <c r="B11" s="65"/>
      <c r="C11" s="58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R11" s="65"/>
    </row>
    <row r="12" customFormat="false" ht="12.75" hidden="false" customHeight="true" outlineLevel="4" collapsed="false">
      <c r="A12" s="57" t="s">
        <v>43</v>
      </c>
      <c r="B12" s="58" t="n">
        <f aca="false">D12+R12</f>
        <v>10445.421</v>
      </c>
      <c r="C12" s="58"/>
      <c r="D12" s="62" t="n">
        <f aca="false">SUM(E12:M12)+O12+P12</f>
        <v>10445.421</v>
      </c>
      <c r="E12" s="62" t="n">
        <f aca="false">[20]02YTD!J$36</f>
        <v>7224.633</v>
      </c>
      <c r="F12" s="62" t="n">
        <f aca="false">[20]02YTD!K$36</f>
        <v>3209.634</v>
      </c>
      <c r="G12" s="62" t="n">
        <f aca="false">[20]02YTD!L$36</f>
        <v>0</v>
      </c>
      <c r="H12" s="62" t="n">
        <f aca="false">[20]02YTD!M$36</f>
        <v>0</v>
      </c>
      <c r="I12" s="62" t="n">
        <f aca="false">[20]02YTD!N$36</f>
        <v>0</v>
      </c>
      <c r="J12" s="62" t="n">
        <f aca="false">[20]02YTD!O$36</f>
        <v>0</v>
      </c>
      <c r="K12" s="62" t="n">
        <f aca="false">[20]02YTD!P$36</f>
        <v>0</v>
      </c>
      <c r="L12" s="62" t="n">
        <f aca="false">[20]02YTD!Q$36</f>
        <v>11.154</v>
      </c>
      <c r="M12" s="62" t="n">
        <f aca="false">[20]02YTD!R$36</f>
        <v>0</v>
      </c>
      <c r="N12" s="62" t="n">
        <f aca="false">M12+L12</f>
        <v>11.154</v>
      </c>
      <c r="O12" s="62" t="n">
        <f aca="false">[20]02YTD!U$36</f>
        <v>0</v>
      </c>
      <c r="P12" s="62" t="n">
        <f aca="false">[20]02YTD!V$36</f>
        <v>0</v>
      </c>
      <c r="R12" s="40" t="n">
        <f aca="false">[17]JAN_YTD!$H$11</f>
        <v>0</v>
      </c>
    </row>
    <row r="13" customFormat="false" ht="12.75" hidden="false" customHeight="true" outlineLevel="4" collapsed="false">
      <c r="A13" s="57" t="s">
        <v>45</v>
      </c>
      <c r="B13" s="58" t="n">
        <f aca="false">D13+R13</f>
        <v>3663.03</v>
      </c>
      <c r="C13" s="58"/>
      <c r="D13" s="62" t="n">
        <f aca="false">SUM(E13:M13)+O13+P13</f>
        <v>3652.904</v>
      </c>
      <c r="E13" s="62" t="n">
        <f aca="false">[20]02YTD!J$62</f>
        <v>3236.457</v>
      </c>
      <c r="F13" s="62" t="n">
        <f aca="false">[20]02YTD!K$62</f>
        <v>304.467</v>
      </c>
      <c r="G13" s="62" t="n">
        <f aca="false">[20]02YTD!L$62</f>
        <v>0</v>
      </c>
      <c r="H13" s="62" t="n">
        <f aca="false">[20]02YTD!M$62</f>
        <v>107.282</v>
      </c>
      <c r="I13" s="62" t="n">
        <f aca="false">[20]02YTD!N$62</f>
        <v>0</v>
      </c>
      <c r="J13" s="62" t="n">
        <f aca="false">[20]02YTD!O$62</f>
        <v>0</v>
      </c>
      <c r="K13" s="62" t="n">
        <f aca="false">[20]02YTD!P$62</f>
        <v>-1.215</v>
      </c>
      <c r="L13" s="62" t="n">
        <f aca="false">[20]02YTD!Q$62</f>
        <v>5.913</v>
      </c>
      <c r="M13" s="62" t="n">
        <f aca="false">[20]02YTD!R$62</f>
        <v>0</v>
      </c>
      <c r="N13" s="62" t="n">
        <f aca="false">M13+L13</f>
        <v>5.913</v>
      </c>
      <c r="O13" s="62" t="n">
        <f aca="false">[20]02YTD!U$62</f>
        <v>0</v>
      </c>
      <c r="P13" s="62" t="n">
        <f aca="false">[20]02YTD!V$62</f>
        <v>0</v>
      </c>
      <c r="R13" s="40" t="n">
        <f aca="false">[21]FEB_YTD!$H$13</f>
        <v>10.126</v>
      </c>
    </row>
    <row r="14" customFormat="false" ht="12.75" hidden="false" customHeight="true" outlineLevel="4" collapsed="false">
      <c r="A14" s="57" t="s">
        <v>47</v>
      </c>
      <c r="B14" s="58" t="n">
        <f aca="false">D14+R14</f>
        <v>108.815</v>
      </c>
      <c r="C14" s="58"/>
      <c r="D14" s="62" t="n">
        <f aca="false">SUM(E14:M14)+O14+P14</f>
        <v>108.815</v>
      </c>
      <c r="E14" s="62" t="n">
        <f aca="false">[16]01YTD!J$46*-1</f>
        <v>108.812</v>
      </c>
      <c r="F14" s="62" t="n">
        <f aca="false">[16]01YTD!K$46*-1</f>
        <v>0.003</v>
      </c>
      <c r="G14" s="62" t="n">
        <f aca="false">[16]01YTD!L$46*-1</f>
        <v>-0</v>
      </c>
      <c r="H14" s="62" t="n">
        <f aca="false">[16]01YTD!M$46*-1</f>
        <v>-0</v>
      </c>
      <c r="I14" s="62" t="n">
        <f aca="false">[16]01YTD!N$46*-1</f>
        <v>-0</v>
      </c>
      <c r="J14" s="62" t="n">
        <f aca="false">[16]01YTD!O$46*-1</f>
        <v>-0</v>
      </c>
      <c r="K14" s="62" t="n">
        <f aca="false">[16]01YTD!P$46*-1</f>
        <v>-0</v>
      </c>
      <c r="L14" s="62" t="n">
        <f aca="false">[16]01YTD!Q$46*-1</f>
        <v>-0</v>
      </c>
      <c r="M14" s="62" t="n">
        <f aca="false">[16]01YTD!R$46*-1</f>
        <v>-0</v>
      </c>
      <c r="N14" s="62" t="n">
        <f aca="false">[16]01YTD!S$46*-1</f>
        <v>-0</v>
      </c>
      <c r="O14" s="62"/>
      <c r="P14" s="62"/>
    </row>
    <row r="15" customFormat="false" ht="12.75" hidden="false" customHeight="true" outlineLevel="4" collapsed="false">
      <c r="A15" s="57" t="s">
        <v>48</v>
      </c>
      <c r="B15" s="58" t="n">
        <f aca="false">D15+R15</f>
        <v>0</v>
      </c>
      <c r="C15" s="58"/>
      <c r="D15" s="62" t="n">
        <f aca="false">SUM(E15:M15)+O15+P15</f>
        <v>0</v>
      </c>
      <c r="E15" s="62"/>
      <c r="F15" s="62"/>
      <c r="G15" s="62"/>
      <c r="H15" s="62"/>
      <c r="I15" s="62"/>
      <c r="J15" s="62"/>
      <c r="K15" s="62"/>
      <c r="L15" s="62"/>
      <c r="M15" s="62"/>
      <c r="N15" s="62" t="n">
        <f aca="false">M15+L15</f>
        <v>0</v>
      </c>
      <c r="O15" s="62"/>
      <c r="P15" s="62"/>
    </row>
    <row r="16" customFormat="false" ht="12.75" hidden="false" customHeight="true" outlineLevel="4" collapsed="false">
      <c r="A16" s="57" t="s">
        <v>51</v>
      </c>
      <c r="B16" s="58" t="n">
        <f aca="false">D16+R16</f>
        <v>-4658.33</v>
      </c>
      <c r="C16" s="58"/>
      <c r="D16" s="62" t="n">
        <f aca="false">SUM(E16:M16)+O16+P16</f>
        <v>-6217.154</v>
      </c>
      <c r="E16" s="62" t="n">
        <f aca="false">[20]02YTD!J$43*-1</f>
        <v>-594.305</v>
      </c>
      <c r="F16" s="62" t="n">
        <f aca="false">[20]02YTD!K$43*-1</f>
        <v>-0</v>
      </c>
      <c r="G16" s="62" t="n">
        <f aca="false">[20]02YTD!L$43*-1</f>
        <v>-4387.268</v>
      </c>
      <c r="H16" s="62" t="n">
        <f aca="false">[20]02YTD!M$43*-1</f>
        <v>-1235.581</v>
      </c>
      <c r="I16" s="62" t="n">
        <f aca="false">[20]02YTD!N$43*-1</f>
        <v>-0</v>
      </c>
      <c r="J16" s="62" t="n">
        <f aca="false">[16]01YTD!O$43*-1</f>
        <v>-0</v>
      </c>
      <c r="K16" s="62" t="n">
        <f aca="false">[16]01YTD!P$43*-1</f>
        <v>-0</v>
      </c>
      <c r="L16" s="62" t="n">
        <f aca="false">[16]01YTD!Q$43*-1</f>
        <v>-0</v>
      </c>
      <c r="M16" s="62" t="n">
        <f aca="false">[16]01YTD!R$43*-1</f>
        <v>-0</v>
      </c>
      <c r="N16" s="62" t="n">
        <f aca="false">M16+L16</f>
        <v>-0</v>
      </c>
      <c r="O16" s="62" t="n">
        <f aca="false">[20]02YTD!U$43*-1</f>
        <v>-0</v>
      </c>
      <c r="P16" s="62" t="n">
        <f aca="false">[20]02YTD!V$43*-1</f>
        <v>-0</v>
      </c>
      <c r="R16" s="40" t="n">
        <f aca="false">[21]FEB_YTD!$H$19</f>
        <v>1558.824</v>
      </c>
    </row>
    <row r="17" customFormat="false" ht="12.75" hidden="false" customHeight="true" outlineLevel="4" collapsed="false">
      <c r="A17" s="57" t="s">
        <v>52</v>
      </c>
      <c r="B17" s="58" t="n">
        <f aca="false">D17+R17</f>
        <v>2482</v>
      </c>
      <c r="C17" s="58"/>
      <c r="D17" s="62" t="n">
        <f aca="false">SUM(E17:M17)+O17+P17</f>
        <v>816</v>
      </c>
      <c r="E17" s="75"/>
      <c r="F17" s="75"/>
      <c r="G17" s="75"/>
      <c r="H17" s="75" t="n">
        <v>816</v>
      </c>
      <c r="I17" s="75"/>
      <c r="J17" s="75"/>
      <c r="K17" s="75"/>
      <c r="L17" s="75"/>
      <c r="M17" s="75"/>
      <c r="N17" s="62" t="n">
        <f aca="false">M17+L17</f>
        <v>0</v>
      </c>
      <c r="O17" s="75"/>
      <c r="P17" s="75"/>
      <c r="R17" s="40" t="n">
        <f aca="false">[21]FEB_YTD!$H$20</f>
        <v>1666</v>
      </c>
    </row>
    <row r="18" customFormat="false" ht="12.75" hidden="false" customHeight="true" outlineLevel="4" collapsed="false">
      <c r="A18" s="57" t="s">
        <v>53</v>
      </c>
      <c r="B18" s="63" t="n">
        <f aca="false">D18+R18</f>
        <v>-42335</v>
      </c>
      <c r="C18" s="58"/>
      <c r="D18" s="62" t="n">
        <f aca="false">SUM(E18:M18)+O18+P18</f>
        <v>-42334</v>
      </c>
      <c r="E18" s="64" t="n">
        <f aca="false">-1604+396+35</f>
        <v>-1173</v>
      </c>
      <c r="F18" s="64" t="n">
        <f aca="false">-753+215+879</f>
        <v>341</v>
      </c>
      <c r="G18" s="64" t="n">
        <v>0</v>
      </c>
      <c r="H18" s="64"/>
      <c r="I18" s="64"/>
      <c r="J18" s="64" t="n">
        <v>-237</v>
      </c>
      <c r="K18" s="64" t="n">
        <v>56</v>
      </c>
      <c r="L18" s="64" t="n">
        <v>-88</v>
      </c>
      <c r="M18" s="64" t="n">
        <v>-33490</v>
      </c>
      <c r="N18" s="62" t="n">
        <f aca="false">M18+L18</f>
        <v>-33578</v>
      </c>
      <c r="O18" s="64" t="n">
        <v>-7669</v>
      </c>
      <c r="P18" s="64" t="n">
        <v>-74</v>
      </c>
      <c r="R18" s="50" t="n">
        <f aca="false">[21]FEB_MO!$H$21</f>
        <v>-1</v>
      </c>
    </row>
    <row r="19" customFormat="false" ht="12.75" hidden="false" customHeight="true" outlineLevel="4" collapsed="false">
      <c r="A19" s="57" t="s">
        <v>54</v>
      </c>
      <c r="B19" s="66" t="n">
        <f aca="false">SUM(B10:B18)</f>
        <v>32597.051</v>
      </c>
      <c r="C19" s="58"/>
      <c r="D19" s="66" t="n">
        <f aca="false">SUM(D10:D18)</f>
        <v>30299.276</v>
      </c>
      <c r="E19" s="66" t="n">
        <f aca="false">SUM(E10:E18)</f>
        <v>47663.88</v>
      </c>
      <c r="F19" s="66" t="n">
        <f aca="false">SUM(F10:F18)</f>
        <v>13651.877</v>
      </c>
      <c r="G19" s="66" t="n">
        <f aca="false">SUM(G10:G18)</f>
        <v>0</v>
      </c>
      <c r="H19" s="66" t="n">
        <f aca="false">SUM(H10:H18)</f>
        <v>869.951</v>
      </c>
      <c r="I19" s="66" t="n">
        <f aca="false">SUM(I10:I18)</f>
        <v>0.00100000000000078</v>
      </c>
      <c r="J19" s="66" t="n">
        <f aca="false">SUM(J10:J18)</f>
        <v>162.58</v>
      </c>
      <c r="K19" s="66" t="n">
        <f aca="false">SUM(K10:K18)</f>
        <v>97.7179999999999</v>
      </c>
      <c r="L19" s="66" t="n">
        <f aca="false">SUM(L10:L18)</f>
        <v>-96.933</v>
      </c>
      <c r="M19" s="66" t="n">
        <f aca="false">SUM(M10:M18)</f>
        <v>-33490</v>
      </c>
      <c r="N19" s="66" t="n">
        <f aca="false">SUM(N10:N18)</f>
        <v>-33586.933</v>
      </c>
      <c r="O19" s="66" t="n">
        <f aca="false">SUM(O10:O18)</f>
        <v>1514.202</v>
      </c>
      <c r="P19" s="66" t="n">
        <f aca="false">SUM(P10:P18)</f>
        <v>-74</v>
      </c>
      <c r="R19" s="66" t="n">
        <f aca="false">SUM(R10:R18)</f>
        <v>2297.775</v>
      </c>
    </row>
    <row r="20" customFormat="false" ht="12.75" hidden="false" customHeight="true" outlineLevel="4" collapsed="false">
      <c r="A20" s="57"/>
      <c r="B20" s="42"/>
      <c r="C20" s="58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R20" s="42"/>
    </row>
    <row r="21" customFormat="false" ht="12.75" hidden="false" customHeight="true" outlineLevel="4" collapsed="false">
      <c r="A21" s="57" t="s">
        <v>103</v>
      </c>
      <c r="B21" s="58"/>
      <c r="C21" s="58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</row>
    <row r="22" customFormat="false" ht="12.75" hidden="false" customHeight="true" outlineLevel="4" collapsed="false">
      <c r="A22" s="57" t="s">
        <v>56</v>
      </c>
      <c r="B22" s="58" t="n">
        <f aca="false">D22+R22</f>
        <v>-3291</v>
      </c>
      <c r="C22" s="58"/>
      <c r="D22" s="62" t="n">
        <f aca="false">SUM(E22:M22)+O22+P22</f>
        <v>-6717</v>
      </c>
      <c r="E22" s="62" t="n">
        <v>-3342</v>
      </c>
      <c r="F22" s="62" t="n">
        <v>445</v>
      </c>
      <c r="G22" s="62"/>
      <c r="H22" s="62" t="n">
        <v>-17</v>
      </c>
      <c r="I22" s="62" t="n">
        <v>5</v>
      </c>
      <c r="J22" s="62" t="n">
        <v>-459</v>
      </c>
      <c r="K22" s="62" t="n">
        <v>100</v>
      </c>
      <c r="L22" s="62" t="n">
        <v>8</v>
      </c>
      <c r="M22" s="62"/>
      <c r="N22" s="62"/>
      <c r="O22" s="62" t="n">
        <v>-3439</v>
      </c>
      <c r="P22" s="62" t="n">
        <v>-18</v>
      </c>
      <c r="R22" s="40" t="n">
        <f aca="false">[21]FEB_YTD!$H$24</f>
        <v>3426</v>
      </c>
    </row>
    <row r="23" customFormat="false" ht="12.75" hidden="false" customHeight="true" outlineLevel="4" collapsed="false">
      <c r="A23" s="57" t="s">
        <v>58</v>
      </c>
      <c r="B23" s="58" t="n">
        <f aca="false">D23+R23</f>
        <v>2645</v>
      </c>
      <c r="C23" s="58"/>
      <c r="D23" s="62" t="n">
        <f aca="false">SUM(E23:M23)+O23+P23</f>
        <v>2645</v>
      </c>
      <c r="E23" s="62" t="n">
        <v>5076</v>
      </c>
      <c r="F23" s="62" t="n">
        <v>1943</v>
      </c>
      <c r="G23" s="62"/>
      <c r="H23" s="62"/>
      <c r="I23" s="62" t="n">
        <v>-5</v>
      </c>
      <c r="J23" s="62" t="n">
        <v>2710</v>
      </c>
      <c r="K23" s="62" t="n">
        <v>-336</v>
      </c>
      <c r="L23" s="62" t="n">
        <v>110</v>
      </c>
      <c r="M23" s="62" t="n">
        <v>-33</v>
      </c>
      <c r="N23" s="62" t="n">
        <f aca="false">M23+L23</f>
        <v>77</v>
      </c>
      <c r="O23" s="62" t="n">
        <v>-6920</v>
      </c>
      <c r="P23" s="62" t="n">
        <v>100</v>
      </c>
      <c r="R23" s="40" t="n">
        <f aca="false">[17]JAN_YTD!$H$25</f>
        <v>0</v>
      </c>
    </row>
    <row r="24" customFormat="false" ht="12.75" hidden="false" customHeight="true" outlineLevel="4" collapsed="false">
      <c r="A24" s="57" t="s">
        <v>60</v>
      </c>
      <c r="B24" s="58" t="n">
        <f aca="false">D24+R24</f>
        <v>12</v>
      </c>
      <c r="C24" s="58"/>
      <c r="D24" s="62" t="n">
        <f aca="false">SUM(E24:M24)+O24+P24</f>
        <v>12</v>
      </c>
      <c r="E24" s="62" t="n">
        <v>6</v>
      </c>
      <c r="F24" s="62" t="n">
        <v>6</v>
      </c>
      <c r="G24" s="62"/>
      <c r="H24" s="62"/>
      <c r="I24" s="62"/>
      <c r="J24" s="62"/>
      <c r="K24" s="62"/>
      <c r="L24" s="62"/>
      <c r="M24" s="62"/>
      <c r="N24" s="62" t="n">
        <f aca="false">M24+L24</f>
        <v>0</v>
      </c>
      <c r="O24" s="62"/>
      <c r="P24" s="62"/>
      <c r="R24" s="40" t="n">
        <f aca="false">[17]JAN_YTD!$H$27</f>
        <v>0</v>
      </c>
    </row>
    <row r="25" customFormat="false" ht="12.75" hidden="false" customHeight="true" outlineLevel="4" collapsed="false">
      <c r="A25" s="57" t="s">
        <v>61</v>
      </c>
      <c r="B25" s="58" t="n">
        <f aca="false">D25+R25</f>
        <v>-1019</v>
      </c>
      <c r="C25" s="58"/>
      <c r="D25" s="62" t="n">
        <f aca="false">SUM(E25:M25)+O25+P25</f>
        <v>-1019</v>
      </c>
      <c r="E25" s="62" t="n">
        <v>-893</v>
      </c>
      <c r="F25" s="62" t="n">
        <v>-126</v>
      </c>
      <c r="G25" s="62"/>
      <c r="H25" s="62"/>
      <c r="I25" s="62"/>
      <c r="J25" s="62"/>
      <c r="K25" s="62"/>
      <c r="L25" s="62"/>
      <c r="M25" s="62"/>
      <c r="N25" s="62" t="n">
        <f aca="false">M25+L25</f>
        <v>0</v>
      </c>
      <c r="O25" s="62"/>
      <c r="P25" s="62"/>
      <c r="R25" s="40" t="n">
        <f aca="false">[17]JAN_YTD!$H$28</f>
        <v>0</v>
      </c>
    </row>
    <row r="26" customFormat="false" ht="12.75" hidden="false" customHeight="true" outlineLevel="4" collapsed="false">
      <c r="A26" s="57" t="s">
        <v>62</v>
      </c>
      <c r="B26" s="58" t="n">
        <f aca="false">D26+R26</f>
        <v>-8599</v>
      </c>
      <c r="C26" s="58"/>
      <c r="D26" s="62" t="n">
        <f aca="false">SUM(E26:M26)+O26+P26</f>
        <v>-8586</v>
      </c>
      <c r="E26" s="62" t="n">
        <v>-4150</v>
      </c>
      <c r="F26" s="62" t="n">
        <v>-2721</v>
      </c>
      <c r="G26" s="62"/>
      <c r="H26" s="62" t="n">
        <v>251</v>
      </c>
      <c r="I26" s="62"/>
      <c r="J26" s="62" t="n">
        <v>-1326</v>
      </c>
      <c r="K26" s="62" t="n">
        <v>3</v>
      </c>
      <c r="L26" s="62"/>
      <c r="M26" s="62"/>
      <c r="N26" s="62" t="n">
        <f aca="false">M26+L26</f>
        <v>0</v>
      </c>
      <c r="O26" s="62" t="n">
        <v>-517</v>
      </c>
      <c r="P26" s="62" t="n">
        <v>-126</v>
      </c>
      <c r="R26" s="40" t="n">
        <f aca="false">[21]FEB_YTD!$H$29</f>
        <v>-13</v>
      </c>
    </row>
    <row r="27" customFormat="false" ht="12.75" hidden="false" customHeight="true" outlineLevel="4" collapsed="false">
      <c r="A27" s="57" t="s">
        <v>104</v>
      </c>
      <c r="B27" s="58" t="n">
        <f aca="false">D27+R27</f>
        <v>4437</v>
      </c>
      <c r="C27" s="58"/>
      <c r="D27" s="62" t="n">
        <f aca="false">SUM(E27:M27)+O27+P27</f>
        <v>4437</v>
      </c>
      <c r="E27" s="62" t="n">
        <v>5143</v>
      </c>
      <c r="F27" s="62" t="n">
        <v>-706</v>
      </c>
      <c r="G27" s="62"/>
      <c r="H27" s="62"/>
      <c r="I27" s="62"/>
      <c r="J27" s="62"/>
      <c r="K27" s="62"/>
      <c r="L27" s="62"/>
      <c r="M27" s="62"/>
      <c r="N27" s="62" t="n">
        <f aca="false">M27+L27</f>
        <v>0</v>
      </c>
      <c r="O27" s="62"/>
      <c r="P27" s="62"/>
      <c r="R27" s="40" t="n">
        <f aca="false">[17]JAN_YTD!$H$30</f>
        <v>0</v>
      </c>
    </row>
    <row r="28" customFormat="false" ht="12.75" hidden="false" customHeight="true" outlineLevel="4" collapsed="false">
      <c r="A28" s="57" t="s">
        <v>64</v>
      </c>
      <c r="B28" s="58" t="n">
        <f aca="false">D28+R28</f>
        <v>3919</v>
      </c>
      <c r="C28" s="58"/>
      <c r="D28" s="62" t="n">
        <f aca="false">SUM(E28:M28)+O28+P28</f>
        <v>3929</v>
      </c>
      <c r="E28" s="62" t="n">
        <v>3080</v>
      </c>
      <c r="F28" s="62" t="n">
        <v>816</v>
      </c>
      <c r="G28" s="62"/>
      <c r="H28" s="62" t="n">
        <v>3</v>
      </c>
      <c r="I28" s="62"/>
      <c r="J28" s="62" t="n">
        <v>-2</v>
      </c>
      <c r="K28" s="62" t="n">
        <v>-1</v>
      </c>
      <c r="L28" s="62"/>
      <c r="M28" s="62" t="n">
        <v>33</v>
      </c>
      <c r="N28" s="62" t="n">
        <f aca="false">M28+L28</f>
        <v>33</v>
      </c>
      <c r="O28" s="62" t="n">
        <v>0</v>
      </c>
      <c r="P28" s="62"/>
      <c r="R28" s="40" t="n">
        <f aca="false">[21]FEB_YTD!$H$31</f>
        <v>-10</v>
      </c>
    </row>
    <row r="29" customFormat="false" ht="12.75" hidden="false" customHeight="true" outlineLevel="4" collapsed="false">
      <c r="A29" s="57" t="s">
        <v>65</v>
      </c>
      <c r="B29" s="58" t="n">
        <f aca="false">D29+R29</f>
        <v>2935</v>
      </c>
      <c r="C29" s="58"/>
      <c r="D29" s="62" t="n">
        <f aca="false">SUM(E29:M29)+O29+P29</f>
        <v>2935</v>
      </c>
      <c r="E29" s="75" t="n">
        <v>5750</v>
      </c>
      <c r="F29" s="75" t="n">
        <v>-2815</v>
      </c>
      <c r="G29" s="75"/>
      <c r="H29" s="75"/>
      <c r="I29" s="75"/>
      <c r="J29" s="75"/>
      <c r="K29" s="75"/>
      <c r="L29" s="75"/>
      <c r="M29" s="75"/>
      <c r="N29" s="62" t="n">
        <f aca="false">M29+L29</f>
        <v>0</v>
      </c>
      <c r="O29" s="75"/>
      <c r="P29" s="75"/>
      <c r="R29" s="40" t="n">
        <f aca="false">[17]JAN_YTD!$H$32</f>
        <v>0</v>
      </c>
    </row>
    <row r="30" customFormat="false" ht="12.75" hidden="false" customHeight="true" outlineLevel="4" collapsed="false">
      <c r="A30" s="57" t="s">
        <v>66</v>
      </c>
      <c r="B30" s="63" t="n">
        <f aca="false">D30+R30</f>
        <v>-11065</v>
      </c>
      <c r="C30" s="58"/>
      <c r="D30" s="62" t="n">
        <f aca="false">SUM(E30:M30)+O30+P30</f>
        <v>-11065</v>
      </c>
      <c r="E30" s="64" t="n">
        <v>-6623</v>
      </c>
      <c r="F30" s="64" t="n">
        <v>-639</v>
      </c>
      <c r="G30" s="64"/>
      <c r="H30" s="64" t="n">
        <v>-1020</v>
      </c>
      <c r="I30" s="64"/>
      <c r="J30" s="64"/>
      <c r="K30" s="64"/>
      <c r="L30" s="64"/>
      <c r="M30" s="64"/>
      <c r="N30" s="64" t="n">
        <f aca="false">M30+L30</f>
        <v>0</v>
      </c>
      <c r="O30" s="64" t="n">
        <v>-2783</v>
      </c>
      <c r="P30" s="64"/>
      <c r="R30" s="50" t="n">
        <f aca="false">[17]JAN_YTD!$H$33</f>
        <v>0</v>
      </c>
    </row>
    <row r="31" customFormat="false" ht="12.75" hidden="false" customHeight="true" outlineLevel="4" collapsed="false">
      <c r="A31" s="57" t="s">
        <v>67</v>
      </c>
      <c r="B31" s="67" t="n">
        <f aca="false">SUM(B21:B30)</f>
        <v>-10026</v>
      </c>
      <c r="C31" s="68"/>
      <c r="D31" s="67" t="n">
        <f aca="false">SUM(D21:D30)</f>
        <v>-13429</v>
      </c>
      <c r="E31" s="67" t="n">
        <f aca="false">SUM(E21:E30)</f>
        <v>4047</v>
      </c>
      <c r="F31" s="67" t="n">
        <f aca="false">SUM(F21:F30)</f>
        <v>-3797</v>
      </c>
      <c r="G31" s="67" t="n">
        <f aca="false">SUM(G21:G30)</f>
        <v>0</v>
      </c>
      <c r="H31" s="67" t="n">
        <f aca="false">SUM(H21:H30)</f>
        <v>-783</v>
      </c>
      <c r="I31" s="67" t="n">
        <f aca="false">SUM(I21:I30)</f>
        <v>0</v>
      </c>
      <c r="J31" s="67" t="n">
        <f aca="false">SUM(J21:J30)</f>
        <v>923</v>
      </c>
      <c r="K31" s="67" t="n">
        <f aca="false">SUM(K21:K30)</f>
        <v>-234</v>
      </c>
      <c r="L31" s="67" t="n">
        <f aca="false">SUM(L21:L30)</f>
        <v>118</v>
      </c>
      <c r="M31" s="67" t="n">
        <f aca="false">SUM(M21:M30)</f>
        <v>0</v>
      </c>
      <c r="N31" s="67" t="n">
        <f aca="false">SUM(N21:N30)</f>
        <v>110</v>
      </c>
      <c r="O31" s="67" t="n">
        <f aca="false">SUM(O21:O30)</f>
        <v>-13659</v>
      </c>
      <c r="P31" s="67" t="n">
        <f aca="false">SUM(P21:P30)</f>
        <v>-44</v>
      </c>
      <c r="R31" s="67" t="n">
        <f aca="false">SUM(R21:R30)</f>
        <v>3403</v>
      </c>
    </row>
    <row r="32" customFormat="false" ht="12.75" hidden="false" customHeight="true" outlineLevel="4" collapsed="false">
      <c r="A32" s="57"/>
      <c r="B32" s="69"/>
      <c r="C32" s="68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42"/>
      <c r="R32" s="69"/>
    </row>
    <row r="33" customFormat="false" ht="12.75" hidden="false" customHeight="true" outlineLevel="3" collapsed="false">
      <c r="A33" s="57" t="s">
        <v>68</v>
      </c>
      <c r="B33" s="70" t="n">
        <f aca="false">B19+B31</f>
        <v>22571.051</v>
      </c>
      <c r="C33" s="58"/>
      <c r="D33" s="70" t="n">
        <f aca="false">D19+D31</f>
        <v>16870.276</v>
      </c>
      <c r="E33" s="70" t="n">
        <f aca="false">E19+E31</f>
        <v>51710.88</v>
      </c>
      <c r="F33" s="70" t="n">
        <f aca="false">F19+F31</f>
        <v>9854.877</v>
      </c>
      <c r="G33" s="70" t="n">
        <f aca="false">G19+G31</f>
        <v>0</v>
      </c>
      <c r="H33" s="70" t="n">
        <f aca="false">H19+H31</f>
        <v>86.9510000000001</v>
      </c>
      <c r="I33" s="70" t="n">
        <f aca="false">I19+I31</f>
        <v>0.00100000000000078</v>
      </c>
      <c r="J33" s="70" t="n">
        <f aca="false">J19+J31</f>
        <v>1085.58</v>
      </c>
      <c r="K33" s="70" t="n">
        <f aca="false">K19+K31</f>
        <v>-136.282</v>
      </c>
      <c r="L33" s="70" t="n">
        <f aca="false">L19+L31</f>
        <v>21.067</v>
      </c>
      <c r="M33" s="70" t="n">
        <f aca="false">M19+M31</f>
        <v>-33490</v>
      </c>
      <c r="N33" s="70" t="n">
        <f aca="false">N19+N31</f>
        <v>-33476.933</v>
      </c>
      <c r="O33" s="70" t="n">
        <f aca="false">O19+O31</f>
        <v>-12144.798</v>
      </c>
      <c r="P33" s="70" t="n">
        <f aca="false">P19+P31</f>
        <v>-118</v>
      </c>
      <c r="R33" s="70" t="n">
        <f aca="false">R19+R31</f>
        <v>5700.775</v>
      </c>
    </row>
    <row r="34" customFormat="false" ht="12.75" hidden="false" customHeight="true" outlineLevel="3" collapsed="false">
      <c r="B34" s="58"/>
      <c r="C34" s="58"/>
    </row>
    <row r="35" customFormat="false" ht="12.75" hidden="false" customHeight="true" outlineLevel="3" collapsed="false">
      <c r="A35" s="61" t="s">
        <v>69</v>
      </c>
      <c r="B35" s="58"/>
      <c r="C35" s="58"/>
    </row>
    <row r="36" customFormat="false" ht="12.75" hidden="false" customHeight="true" outlineLevel="4" collapsed="false">
      <c r="A36" s="57" t="s">
        <v>70</v>
      </c>
      <c r="B36" s="58" t="n">
        <f aca="false">D36+R36</f>
        <v>1889</v>
      </c>
      <c r="C36" s="58"/>
      <c r="D36" s="62" t="n">
        <f aca="false">SUM(E36:M36)+O36+P36</f>
        <v>1889</v>
      </c>
      <c r="E36" s="76" t="n">
        <v>1889</v>
      </c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</row>
    <row r="37" customFormat="false" ht="12.75" hidden="false" customHeight="true" outlineLevel="4" collapsed="false">
      <c r="A37" s="57" t="s">
        <v>71</v>
      </c>
      <c r="B37" s="58" t="n">
        <f aca="false">D37+R37</f>
        <v>-3860</v>
      </c>
      <c r="C37" s="58"/>
      <c r="D37" s="62" t="n">
        <f aca="false">SUM(E37:M37)+O37+P37</f>
        <v>-3860</v>
      </c>
      <c r="E37" s="76" t="n">
        <v>-2210</v>
      </c>
      <c r="F37" s="76" t="n">
        <v>-1650</v>
      </c>
      <c r="G37" s="76"/>
      <c r="H37" s="76"/>
      <c r="I37" s="76"/>
      <c r="J37" s="76"/>
      <c r="K37" s="76"/>
      <c r="L37" s="76"/>
      <c r="M37" s="76"/>
      <c r="N37" s="76"/>
      <c r="O37" s="76"/>
      <c r="P37" s="76"/>
    </row>
    <row r="38" customFormat="false" ht="12.75" hidden="false" customHeight="true" outlineLevel="4" collapsed="false">
      <c r="A38" s="57" t="s">
        <v>105</v>
      </c>
      <c r="B38" s="58" t="n">
        <f aca="false">D38+R38</f>
        <v>-3867</v>
      </c>
      <c r="C38" s="58"/>
      <c r="D38" s="62" t="n">
        <f aca="false">SUM(E38:M38)+O38+P38</f>
        <v>-3867</v>
      </c>
      <c r="E38" s="76" t="n">
        <f aca="false">-4197-81</f>
        <v>-4278</v>
      </c>
      <c r="F38" s="76" t="n">
        <f aca="false">340+71</f>
        <v>411</v>
      </c>
      <c r="G38" s="76"/>
      <c r="H38" s="76"/>
      <c r="I38" s="76"/>
      <c r="J38" s="76"/>
      <c r="K38" s="76"/>
      <c r="L38" s="76"/>
      <c r="M38" s="76"/>
      <c r="N38" s="76"/>
      <c r="O38" s="76"/>
      <c r="P38" s="76"/>
    </row>
    <row r="39" customFormat="false" ht="12.75" hidden="false" customHeight="true" outlineLevel="4" collapsed="false">
      <c r="A39" s="57" t="s">
        <v>120</v>
      </c>
      <c r="B39" s="58" t="n">
        <f aca="false">D39+R39</f>
        <v>0</v>
      </c>
      <c r="C39" s="58"/>
      <c r="D39" s="62" t="n">
        <f aca="false">SUM(E39:P39)</f>
        <v>0</v>
      </c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R39" s="40" t="n">
        <f aca="false">[21]FEB_YTD!$H$42</f>
        <v>0</v>
      </c>
    </row>
    <row r="40" customFormat="false" ht="12.75" hidden="false" customHeight="true" outlineLevel="4" collapsed="false">
      <c r="A40" s="57" t="s">
        <v>121</v>
      </c>
      <c r="B40" s="58" t="n">
        <f aca="false">D40+R40</f>
        <v>238</v>
      </c>
      <c r="C40" s="58"/>
      <c r="D40" s="62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R40" s="40" t="n">
        <f aca="false">[21]FEB_YTD!$H$43</f>
        <v>238</v>
      </c>
    </row>
    <row r="41" customFormat="false" ht="12.75" hidden="false" customHeight="true" outlineLevel="4" collapsed="false">
      <c r="A41" s="57" t="s">
        <v>76</v>
      </c>
      <c r="B41" s="58" t="n">
        <f aca="false">D41+R41</f>
        <v>0</v>
      </c>
      <c r="C41" s="58"/>
      <c r="D41" s="62" t="n">
        <f aca="false">SUM(E41:P41)</f>
        <v>0</v>
      </c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</row>
    <row r="42" customFormat="false" ht="12.75" hidden="false" customHeight="true" outlineLevel="4" collapsed="false">
      <c r="A42" s="57" t="s">
        <v>77</v>
      </c>
      <c r="B42" s="63" t="n">
        <f aca="false">D42+R42</f>
        <v>-1861</v>
      </c>
      <c r="C42" s="58"/>
      <c r="D42" s="64" t="n">
        <f aca="false">SUM(E42:M42)+O42+P42</f>
        <v>-1861</v>
      </c>
      <c r="E42" s="64" t="n">
        <v>-1861</v>
      </c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R42" s="50"/>
    </row>
    <row r="43" customFormat="false" ht="12.75" hidden="false" customHeight="true" outlineLevel="3" collapsed="false">
      <c r="A43" s="57" t="s">
        <v>78</v>
      </c>
      <c r="B43" s="70" t="n">
        <f aca="false">SUM(B36:B42)</f>
        <v>-7461</v>
      </c>
      <c r="C43" s="71" t="n">
        <f aca="false">SUM(C36:C42)</f>
        <v>0</v>
      </c>
      <c r="D43" s="70" t="n">
        <f aca="false">SUM(D36:D42)</f>
        <v>-7699</v>
      </c>
      <c r="E43" s="70" t="n">
        <f aca="false">SUM(E36:E42)</f>
        <v>-6460</v>
      </c>
      <c r="F43" s="70" t="n">
        <f aca="false">SUM(F36:F42)</f>
        <v>-1239</v>
      </c>
      <c r="G43" s="70" t="n">
        <f aca="false">SUM(G36:G42)</f>
        <v>0</v>
      </c>
      <c r="H43" s="70" t="n">
        <f aca="false">SUM(H36:H42)</f>
        <v>0</v>
      </c>
      <c r="I43" s="70" t="n">
        <f aca="false">SUM(I36:I42)</f>
        <v>0</v>
      </c>
      <c r="J43" s="70" t="n">
        <f aca="false">SUM(J36:J42)</f>
        <v>0</v>
      </c>
      <c r="K43" s="70" t="n">
        <f aca="false">SUM(K36:K42)</f>
        <v>0</v>
      </c>
      <c r="L43" s="70" t="n">
        <f aca="false">SUM(L36:L42)</f>
        <v>0</v>
      </c>
      <c r="M43" s="70" t="n">
        <f aca="false">SUM(M36:M42)</f>
        <v>0</v>
      </c>
      <c r="N43" s="70"/>
      <c r="O43" s="70" t="n">
        <f aca="false">SUM(O36:O42)</f>
        <v>0</v>
      </c>
      <c r="P43" s="70" t="n">
        <f aca="false">SUM(P36:P42)</f>
        <v>0</v>
      </c>
      <c r="R43" s="66" t="n">
        <f aca="false">SUM(R36:R42)</f>
        <v>238</v>
      </c>
    </row>
    <row r="44" customFormat="false" ht="12.75" hidden="false" customHeight="true" outlineLevel="3" collapsed="false">
      <c r="B44" s="58"/>
      <c r="C44" s="58"/>
    </row>
    <row r="45" customFormat="false" ht="12.75" hidden="false" customHeight="true" outlineLevel="3" collapsed="false">
      <c r="A45" s="61" t="s">
        <v>79</v>
      </c>
      <c r="B45" s="58"/>
      <c r="C45" s="58"/>
    </row>
    <row r="46" customFormat="false" ht="12.75" hidden="false" customHeight="true" outlineLevel="4" collapsed="false">
      <c r="A46" s="57" t="s">
        <v>80</v>
      </c>
      <c r="B46" s="58" t="n">
        <f aca="false">D46+R46</f>
        <v>0</v>
      </c>
      <c r="C46" s="58"/>
      <c r="D46" s="62" t="n">
        <f aca="false">SUM(E46:P46)</f>
        <v>0</v>
      </c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</row>
    <row r="47" customFormat="false" ht="12.75" hidden="false" customHeight="true" outlineLevel="4" collapsed="false">
      <c r="A47" s="57" t="s">
        <v>81</v>
      </c>
      <c r="B47" s="58" t="n">
        <f aca="false">D47+R47</f>
        <v>-100000</v>
      </c>
      <c r="C47" s="58"/>
      <c r="D47" s="62" t="n">
        <f aca="false">SUM(E47:M47)+O47+P47</f>
        <v>-100000</v>
      </c>
      <c r="E47" s="62" t="n">
        <v>0</v>
      </c>
      <c r="F47" s="62" t="n">
        <v>-100000</v>
      </c>
      <c r="G47" s="62"/>
      <c r="H47" s="62"/>
      <c r="I47" s="62"/>
      <c r="J47" s="62"/>
      <c r="K47" s="62"/>
      <c r="L47" s="62"/>
      <c r="M47" s="62"/>
      <c r="N47" s="62"/>
      <c r="O47" s="62"/>
      <c r="P47" s="62"/>
    </row>
    <row r="48" customFormat="false" ht="12.75" hidden="false" customHeight="true" outlineLevel="4" collapsed="false">
      <c r="A48" s="57" t="s">
        <v>83</v>
      </c>
      <c r="B48" s="58" t="n">
        <f aca="false">D48+R48</f>
        <v>0</v>
      </c>
      <c r="C48" s="58"/>
      <c r="D48" s="62" t="n">
        <f aca="false">SUM(E48:P48)</f>
        <v>0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</row>
    <row r="49" customFormat="false" ht="12.75" hidden="false" customHeight="true" outlineLevel="4" collapsed="false">
      <c r="A49" s="57" t="s">
        <v>84</v>
      </c>
      <c r="B49" s="58" t="n">
        <f aca="false">D49+R49</f>
        <v>0</v>
      </c>
      <c r="C49" s="58"/>
      <c r="D49" s="62" t="n">
        <f aca="false">SUM(E49:M49)+O49+P49</f>
        <v>0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</row>
    <row r="50" customFormat="false" ht="12.75" hidden="false" customHeight="true" outlineLevel="4" collapsed="false">
      <c r="A50" s="57" t="s">
        <v>107</v>
      </c>
      <c r="B50" s="58" t="n">
        <f aca="false">D50+R50</f>
        <v>0</v>
      </c>
      <c r="C50" s="58"/>
      <c r="D50" s="62" t="n">
        <f aca="false">SUM(E50:P50)</f>
        <v>0</v>
      </c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R50" s="50"/>
    </row>
    <row r="51" customFormat="false" ht="12.75" hidden="false" customHeight="true" outlineLevel="3" collapsed="false">
      <c r="A51" s="57" t="s">
        <v>86</v>
      </c>
      <c r="B51" s="72" t="n">
        <f aca="false">SUM(B46:B50)</f>
        <v>-100000</v>
      </c>
      <c r="C51" s="58"/>
      <c r="D51" s="72" t="n">
        <f aca="false">SUM(D46:D50)</f>
        <v>-100000</v>
      </c>
      <c r="E51" s="72" t="n">
        <f aca="false">SUM(E46:E50)</f>
        <v>0</v>
      </c>
      <c r="F51" s="72" t="n">
        <f aca="false">SUM(F46:F50)</f>
        <v>-100000</v>
      </c>
      <c r="G51" s="72" t="n">
        <f aca="false">SUM(G46:G50)</f>
        <v>0</v>
      </c>
      <c r="H51" s="72" t="n">
        <f aca="false">SUM(H46:H50)</f>
        <v>0</v>
      </c>
      <c r="I51" s="72" t="n">
        <f aca="false">SUM(I46:I50)</f>
        <v>0</v>
      </c>
      <c r="J51" s="72" t="n">
        <f aca="false">SUM(J46:J50)</f>
        <v>0</v>
      </c>
      <c r="K51" s="72" t="n">
        <f aca="false">SUM(K46:K50)</f>
        <v>0</v>
      </c>
      <c r="L51" s="72" t="n">
        <f aca="false">SUM(L46:L50)</f>
        <v>0</v>
      </c>
      <c r="M51" s="72" t="n">
        <f aca="false">SUM(M46:M50)</f>
        <v>0</v>
      </c>
      <c r="N51" s="72"/>
      <c r="O51" s="72" t="n">
        <f aca="false">SUM(O46:O50)</f>
        <v>0</v>
      </c>
      <c r="P51" s="72" t="n">
        <f aca="false">SUM(P46:P50)</f>
        <v>0</v>
      </c>
      <c r="R51" s="72" t="n">
        <f aca="false">SUM(R46:R50)</f>
        <v>0</v>
      </c>
    </row>
    <row r="52" customFormat="false" ht="12.75" hidden="false" customHeight="true" outlineLevel="3" collapsed="false">
      <c r="A52" s="57"/>
      <c r="B52" s="71"/>
      <c r="C52" s="58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R52" s="71"/>
    </row>
    <row r="53" customFormat="false" ht="12.75" hidden="false" customHeight="true" outlineLevel="2" collapsed="false">
      <c r="A53" s="57" t="s">
        <v>87</v>
      </c>
      <c r="B53" s="71" t="n">
        <f aca="false">B33+B43+B51</f>
        <v>-84889.949</v>
      </c>
      <c r="C53" s="58"/>
      <c r="D53" s="71" t="n">
        <f aca="false">D33+D43+D51</f>
        <v>-90828.724</v>
      </c>
      <c r="E53" s="71" t="n">
        <f aca="false">E33+E43+E51</f>
        <v>45250.88</v>
      </c>
      <c r="F53" s="71" t="n">
        <f aca="false">F33+F43+F51</f>
        <v>-91384.123</v>
      </c>
      <c r="G53" s="71" t="n">
        <f aca="false">G33+G43+G51</f>
        <v>0</v>
      </c>
      <c r="H53" s="71" t="n">
        <f aca="false">H33+H43+H51</f>
        <v>86.9510000000001</v>
      </c>
      <c r="I53" s="71" t="n">
        <f aca="false">I33+I43+I51</f>
        <v>0.00100000000000078</v>
      </c>
      <c r="J53" s="71" t="n">
        <f aca="false">J33+J43+J51</f>
        <v>1085.58</v>
      </c>
      <c r="K53" s="71" t="n">
        <f aca="false">K33+K43+K51</f>
        <v>-136.282</v>
      </c>
      <c r="L53" s="71" t="n">
        <f aca="false">L33+L43+L51</f>
        <v>21.067</v>
      </c>
      <c r="M53" s="71" t="n">
        <f aca="false">M33+M43+M51</f>
        <v>-33490</v>
      </c>
      <c r="N53" s="71" t="n">
        <f aca="false">M53+L53</f>
        <v>-33468.933</v>
      </c>
      <c r="O53" s="71" t="n">
        <f aca="false">O33+O43+O51</f>
        <v>-12144.798</v>
      </c>
      <c r="P53" s="71" t="n">
        <f aca="false">P33+P43+P51</f>
        <v>-118</v>
      </c>
      <c r="R53" s="71" t="n">
        <f aca="false">R33+R43+R51</f>
        <v>5938.775</v>
      </c>
    </row>
    <row r="54" customFormat="false" ht="12.75" hidden="false" customHeight="true" outlineLevel="2" collapsed="false">
      <c r="A54" s="57"/>
      <c r="B54" s="71"/>
      <c r="C54" s="58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R54" s="71"/>
    </row>
    <row r="55" customFormat="false" ht="12.75" hidden="false" customHeight="true" outlineLevel="2" collapsed="false">
      <c r="A55" s="57" t="s">
        <v>88</v>
      </c>
      <c r="B55" s="63" t="n">
        <f aca="false">D55+R55</f>
        <v>-3395</v>
      </c>
      <c r="C55" s="58"/>
      <c r="D55" s="64" t="n">
        <f aca="false">SUM(E55:M55)+O55+P55</f>
        <v>40</v>
      </c>
      <c r="E55" s="77" t="n">
        <v>0</v>
      </c>
      <c r="F55" s="77" t="n">
        <v>0</v>
      </c>
      <c r="G55" s="77" t="n">
        <v>0</v>
      </c>
      <c r="H55" s="77" t="n">
        <v>0</v>
      </c>
      <c r="I55" s="77" t="n">
        <v>0</v>
      </c>
      <c r="J55" s="77" t="n">
        <v>0</v>
      </c>
      <c r="K55" s="77" t="n">
        <v>0</v>
      </c>
      <c r="L55" s="77" t="n">
        <v>0</v>
      </c>
      <c r="M55" s="77" t="n">
        <v>0</v>
      </c>
      <c r="N55" s="77"/>
      <c r="O55" s="77" t="n">
        <v>0</v>
      </c>
      <c r="P55" s="77" t="n">
        <v>40</v>
      </c>
      <c r="R55" s="50" t="n">
        <f aca="false">[21]FEB_YTD!$J$56*-1</f>
        <v>-3435</v>
      </c>
    </row>
    <row r="56" customFormat="false" ht="12.75" hidden="false" customHeight="true" outlineLevel="2" collapsed="false">
      <c r="A56" s="57"/>
      <c r="B56" s="58"/>
      <c r="C56" s="58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R56" s="42"/>
    </row>
    <row r="57" customFormat="false" ht="12.75" hidden="false" customHeight="true" outlineLevel="1" collapsed="false">
      <c r="A57" s="57" t="s">
        <v>89</v>
      </c>
      <c r="B57" s="74" t="n">
        <f aca="false">B55+B53</f>
        <v>-88284.949</v>
      </c>
      <c r="C57" s="58"/>
      <c r="D57" s="74" t="n">
        <f aca="false">D55+D53</f>
        <v>-90788.724</v>
      </c>
      <c r="E57" s="74" t="n">
        <f aca="false">E55+E53</f>
        <v>45250.88</v>
      </c>
      <c r="F57" s="74" t="n">
        <f aca="false">F55+F53</f>
        <v>-91384.123</v>
      </c>
      <c r="G57" s="74" t="n">
        <f aca="false">G53-G55</f>
        <v>0</v>
      </c>
      <c r="H57" s="74" t="n">
        <f aca="false">H55+H53</f>
        <v>86.9510000000001</v>
      </c>
      <c r="I57" s="74" t="n">
        <f aca="false">I55+I53</f>
        <v>0.00100000000000078</v>
      </c>
      <c r="J57" s="74" t="n">
        <f aca="false">J55+J53</f>
        <v>1085.58</v>
      </c>
      <c r="K57" s="74" t="n">
        <f aca="false">K55+K53</f>
        <v>-136.282</v>
      </c>
      <c r="L57" s="74" t="n">
        <f aca="false">L53-L55</f>
        <v>21.067</v>
      </c>
      <c r="M57" s="74" t="n">
        <f aca="false">M53-M55</f>
        <v>-33490</v>
      </c>
      <c r="N57" s="74" t="n">
        <f aca="false">N55+N53</f>
        <v>-33468.933</v>
      </c>
      <c r="O57" s="74" t="n">
        <f aca="false">O55+O53</f>
        <v>-12144.798</v>
      </c>
      <c r="P57" s="74" t="n">
        <f aca="false">P55+P53</f>
        <v>-78</v>
      </c>
      <c r="R57" s="74" t="n">
        <f aca="false">R55+R53</f>
        <v>2503.775</v>
      </c>
    </row>
    <row r="58" customFormat="false" ht="12.75" hidden="false" customHeight="true" outlineLevel="1" collapsed="false">
      <c r="B58" s="42"/>
      <c r="C58" s="42"/>
    </row>
    <row r="59" customFormat="false" ht="12.75" hidden="false" customHeight="true" outlineLevel="0" collapsed="false">
      <c r="A59" s="40" t="s">
        <v>90</v>
      </c>
      <c r="B59" s="64" t="n">
        <f aca="false">D59+R59</f>
        <v>99987</v>
      </c>
      <c r="C59" s="42"/>
      <c r="D59" s="64" t="n">
        <f aca="false">SUM(E59:P59)</f>
        <v>99987</v>
      </c>
      <c r="E59" s="77" t="n">
        <v>-13</v>
      </c>
      <c r="F59" s="77" t="n">
        <v>100000</v>
      </c>
      <c r="G59" s="77" t="n">
        <v>0</v>
      </c>
      <c r="H59" s="77" t="n">
        <v>0</v>
      </c>
      <c r="I59" s="77" t="n">
        <v>149</v>
      </c>
      <c r="J59" s="77" t="n">
        <v>-611</v>
      </c>
      <c r="K59" s="77" t="n">
        <v>462</v>
      </c>
      <c r="L59" s="77" t="n">
        <v>0</v>
      </c>
      <c r="M59" s="77" t="n">
        <v>0</v>
      </c>
      <c r="N59" s="77"/>
      <c r="O59" s="77" t="n">
        <v>0</v>
      </c>
      <c r="P59" s="77" t="n">
        <v>0</v>
      </c>
      <c r="R59" s="50"/>
    </row>
    <row r="60" customFormat="false" ht="12.75" hidden="false" customHeight="true" outlineLevel="0" collapsed="false">
      <c r="B60" s="42"/>
      <c r="C60" s="42"/>
    </row>
    <row r="61" customFormat="false" ht="12.75" hidden="false" customHeight="true" outlineLevel="0" collapsed="false">
      <c r="A61" s="40" t="s">
        <v>91</v>
      </c>
      <c r="B61" s="74" t="n">
        <f aca="false">B57+B59</f>
        <v>11702.051</v>
      </c>
      <c r="C61" s="42"/>
      <c r="D61" s="74" t="n">
        <f aca="false">D57+D59</f>
        <v>9198.27599999998</v>
      </c>
      <c r="E61" s="74" t="n">
        <f aca="false">E57+E59</f>
        <v>45237.88</v>
      </c>
      <c r="F61" s="74" t="n">
        <f aca="false">F57+F59</f>
        <v>8615.87699999999</v>
      </c>
      <c r="G61" s="74" t="n">
        <f aca="false">G57+G59</f>
        <v>0</v>
      </c>
      <c r="H61" s="74" t="n">
        <f aca="false">H57+H59</f>
        <v>86.9510000000001</v>
      </c>
      <c r="I61" s="74" t="n">
        <f aca="false">I57+I59</f>
        <v>149.001</v>
      </c>
      <c r="J61" s="74" t="n">
        <f aca="false">J57+J59</f>
        <v>474.58</v>
      </c>
      <c r="K61" s="74" t="n">
        <f aca="false">K57+K59</f>
        <v>325.718</v>
      </c>
      <c r="L61" s="74" t="n">
        <f aca="false">L57+L59</f>
        <v>21.067</v>
      </c>
      <c r="M61" s="74" t="n">
        <f aca="false">M57+M59</f>
        <v>-33490</v>
      </c>
      <c r="N61" s="74" t="n">
        <f aca="false">M61+L61</f>
        <v>-33468.933</v>
      </c>
      <c r="O61" s="74" t="n">
        <f aca="false">O57+O59</f>
        <v>-12144.798</v>
      </c>
      <c r="P61" s="74" t="n">
        <f aca="false">P57+P59</f>
        <v>-78</v>
      </c>
      <c r="R61" s="74" t="n">
        <f aca="false">R57+R59</f>
        <v>2503.775</v>
      </c>
    </row>
    <row r="62" customFormat="false" ht="12.75" hidden="false" customHeight="true" outlineLevel="0" collapsed="false">
      <c r="B62" s="42"/>
      <c r="C62" s="42"/>
    </row>
    <row r="63" customFormat="false" ht="12.75" hidden="false" customHeight="true" outlineLevel="0" collapsed="false">
      <c r="B63" s="42"/>
      <c r="C63" s="42"/>
      <c r="P63" s="40" t="n">
        <v>145</v>
      </c>
    </row>
    <row r="64" customFormat="false" ht="12.75" hidden="false" customHeight="true" outlineLevel="0" collapsed="false">
      <c r="P64" s="40" t="n">
        <f aca="false">P57-P63</f>
        <v>-223</v>
      </c>
    </row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77"/>
  <sheetViews>
    <sheetView showFormulas="false" showGridLines="true" showRowColHeaders="true" showZeros="true" rightToLeft="false" tabSelected="false" showOutlineSymbols="true" defaultGridColor="true" view="normal" topLeftCell="E39" colorId="64" zoomScale="100" zoomScaleNormal="100" zoomScalePageLayoutView="100" workbookViewId="0">
      <selection pane="topLeft" activeCell="E39" activeCellId="0" sqref="A1:IV16384"/>
    </sheetView>
  </sheetViews>
  <sheetFormatPr defaultColWidth="8.9921875" defaultRowHeight="12.75" customHeight="true" zeroHeight="false" outlineLevelRow="4" outlineLevelCol="0"/>
  <cols>
    <col collapsed="false" customWidth="true" hidden="false" outlineLevel="0" max="1" min="1" style="40" width="67.99"/>
    <col collapsed="false" customWidth="true" hidden="false" outlineLevel="0" max="2" min="2" style="40" width="14.49"/>
    <col collapsed="false" customWidth="true" hidden="false" outlineLevel="0" max="3" min="3" style="40" width="1.82"/>
    <col collapsed="false" customWidth="true" hidden="false" outlineLevel="0" max="4" min="4" style="40" width="11.82"/>
    <col collapsed="false" customWidth="true" hidden="false" outlineLevel="0" max="5" min="5" style="40" width="10.65"/>
    <col collapsed="false" customWidth="true" hidden="false" outlineLevel="0" max="6" min="6" style="40" width="10.82"/>
    <col collapsed="false" customWidth="true" hidden="false" outlineLevel="0" max="7" min="7" style="40" width="12.82"/>
    <col collapsed="false" customWidth="true" hidden="false" outlineLevel="0" max="11" min="8" style="40" width="10.82"/>
    <col collapsed="false" customWidth="true" hidden="true" outlineLevel="0" max="13" min="12" style="40" width="10.82"/>
    <col collapsed="false" customWidth="true" hidden="false" outlineLevel="0" max="15" min="14" style="40" width="12.16"/>
    <col collapsed="false" customWidth="true" hidden="false" outlineLevel="0" max="16" min="16" style="40" width="10.82"/>
    <col collapsed="false" customWidth="true" hidden="false" outlineLevel="0" max="17" min="17" style="40" width="3.65"/>
    <col collapsed="false" customWidth="true" hidden="false" outlineLevel="0" max="18" min="18" style="40" width="9.82"/>
    <col collapsed="false" customWidth="false" hidden="false" outlineLevel="0" max="257" min="19" style="40" width="8.99"/>
  </cols>
  <sheetData>
    <row r="1" customFormat="false" ht="12.75" hidden="false" customHeight="true" outlineLevel="0" collapsed="false">
      <c r="A1" s="41" t="s">
        <v>18</v>
      </c>
      <c r="B1" s="42"/>
      <c r="C1" s="42"/>
      <c r="D1" s="42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customFormat="false" ht="12.75" hidden="false" customHeight="true" outlineLevel="0" collapsed="false">
      <c r="A2" s="44" t="s">
        <v>19</v>
      </c>
      <c r="D2" s="45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customFormat="false" ht="12.75" hidden="false" customHeight="true" outlineLevel="0" collapsed="false">
      <c r="A3" s="47" t="s">
        <v>124</v>
      </c>
      <c r="B3" s="42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</row>
    <row r="4" customFormat="false" ht="12.75" hidden="false" customHeight="true" outlineLevel="0" collapsed="false">
      <c r="A4" s="42"/>
      <c r="B4" s="49" t="s">
        <v>97</v>
      </c>
      <c r="C4" s="50"/>
      <c r="D4" s="51"/>
      <c r="I4" s="52" t="s">
        <v>98</v>
      </c>
      <c r="J4" s="52" t="s">
        <v>28</v>
      </c>
      <c r="K4" s="52" t="s">
        <v>29</v>
      </c>
      <c r="L4" s="52" t="s">
        <v>30</v>
      </c>
      <c r="M4" s="52" t="s">
        <v>31</v>
      </c>
      <c r="N4" s="52" t="s">
        <v>30</v>
      </c>
      <c r="O4" s="52" t="s">
        <v>32</v>
      </c>
      <c r="R4" s="53" t="s">
        <v>21</v>
      </c>
    </row>
    <row r="5" customFormat="false" ht="12.75" hidden="false" customHeight="true" outlineLevel="0" collapsed="false">
      <c r="A5" s="54" t="s">
        <v>34</v>
      </c>
      <c r="B5" s="55" t="s">
        <v>100</v>
      </c>
      <c r="C5" s="52"/>
      <c r="D5" s="51" t="s">
        <v>35</v>
      </c>
      <c r="E5" s="51" t="s">
        <v>22</v>
      </c>
      <c r="F5" s="51" t="s">
        <v>23</v>
      </c>
      <c r="G5" s="51" t="s">
        <v>24</v>
      </c>
      <c r="H5" s="51" t="s">
        <v>25</v>
      </c>
      <c r="I5" s="51" t="n">
        <v>543</v>
      </c>
      <c r="J5" s="51" t="n">
        <v>584</v>
      </c>
      <c r="K5" s="51" t="n">
        <v>583</v>
      </c>
      <c r="L5" s="51" t="s">
        <v>36</v>
      </c>
      <c r="M5" s="51"/>
      <c r="N5" s="51" t="s">
        <v>37</v>
      </c>
      <c r="O5" s="51" t="s">
        <v>38</v>
      </c>
      <c r="P5" s="51" t="s">
        <v>33</v>
      </c>
      <c r="R5" s="56" t="s">
        <v>102</v>
      </c>
    </row>
    <row r="6" customFormat="false" ht="12.75" hidden="false" customHeight="true" outlineLevel="2" collapsed="false">
      <c r="A6" s="57"/>
      <c r="B6" s="58"/>
      <c r="C6" s="58"/>
      <c r="D6" s="59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</row>
    <row r="7" customFormat="false" ht="12.75" hidden="false" customHeight="true" outlineLevel="4" collapsed="false">
      <c r="A7" s="61" t="s">
        <v>39</v>
      </c>
      <c r="B7" s="58"/>
      <c r="C7" s="58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</row>
    <row r="8" customFormat="false" ht="12.75" hidden="false" customHeight="true" outlineLevel="4" collapsed="false">
      <c r="A8" s="57" t="s">
        <v>40</v>
      </c>
      <c r="B8" s="58" t="n">
        <f aca="false">D8+R8</f>
        <v>24322.507</v>
      </c>
      <c r="C8" s="58"/>
      <c r="D8" s="62" t="n">
        <f aca="false">SUM(E8:M8)+O8+P8</f>
        <v>25665</v>
      </c>
      <c r="E8" s="62" t="n">
        <f aca="false">FebYTD!E8-JAN2000!E8</f>
        <v>19637.556</v>
      </c>
      <c r="F8" s="62" t="n">
        <f aca="false">FebYTD!F8-JAN2000!F8</f>
        <v>4065.883</v>
      </c>
      <c r="G8" s="62" t="n">
        <f aca="false">FebYTD!G8-JAN2000!G8</f>
        <v>1854.887</v>
      </c>
      <c r="H8" s="62" t="n">
        <f aca="false">FebYTD!H8-JAN2000!H8</f>
        <v>157.578</v>
      </c>
      <c r="I8" s="62" t="n">
        <f aca="false">FebYTD!I8-JAN2000!I8</f>
        <v>0.00100000000000078</v>
      </c>
      <c r="J8" s="62" t="n">
        <f aca="false">FebYTD!J8-JAN2000!J8</f>
        <v>167.903</v>
      </c>
      <c r="K8" s="62" t="n">
        <f aca="false">FebYTD!K8-JAN2000!K8</f>
        <v>21.2039999999999</v>
      </c>
      <c r="L8" s="62" t="n">
        <f aca="false">FebYTD!L8-JAN2000!L8</f>
        <v>-25.801</v>
      </c>
      <c r="M8" s="62" t="n">
        <f aca="false">FebYTD!M8-JAN2000!M8</f>
        <v>0</v>
      </c>
      <c r="N8" s="62" t="n">
        <f aca="false">M8+L8</f>
        <v>-25.801</v>
      </c>
      <c r="O8" s="62" t="n">
        <f aca="false">FebYTD!O8-JAN2000!O8</f>
        <v>-214.211</v>
      </c>
      <c r="P8" s="62" t="n">
        <f aca="false">FebYTD!P8-JAN2000!P8</f>
        <v>0</v>
      </c>
      <c r="R8" s="40" t="n">
        <f aca="false">[21]FEB_MO!$H$8</f>
        <v>-1342.493</v>
      </c>
    </row>
    <row r="9" customFormat="false" ht="12.75" hidden="false" customHeight="true" outlineLevel="4" collapsed="false">
      <c r="A9" s="57" t="s">
        <v>41</v>
      </c>
      <c r="B9" s="63" t="n">
        <f aca="false">D9+R9</f>
        <v>4251.399</v>
      </c>
      <c r="C9" s="58"/>
      <c r="D9" s="64" t="n">
        <f aca="false">SUM(E9:M9)+O9+P9</f>
        <v>4251.399</v>
      </c>
      <c r="E9" s="64" t="n">
        <f aca="false">FebYTD!E9-JAN2000!E9</f>
        <v>-1205.291</v>
      </c>
      <c r="F9" s="64" t="n">
        <f aca="false">FebYTD!F9-JAN2000!F9</f>
        <v>332.721</v>
      </c>
      <c r="G9" s="64" t="n">
        <f aca="false">FebYTD!G9-JAN2000!G9</f>
        <v>0</v>
      </c>
      <c r="H9" s="64" t="n">
        <f aca="false">FebYTD!H9-JAN2000!H9</f>
        <v>292.656</v>
      </c>
      <c r="I9" s="64" t="n">
        <f aca="false">FebYTD!I9-JAN2000!I9</f>
        <v>0</v>
      </c>
      <c r="J9" s="64" t="n">
        <f aca="false">FebYTD!J9-JAN2000!J9</f>
        <v>27.116</v>
      </c>
      <c r="K9" s="64" t="n">
        <f aca="false">FebYTD!K9-JAN2000!K9</f>
        <v>0</v>
      </c>
      <c r="L9" s="64" t="n">
        <f aca="false">FebYTD!L9-JAN2000!L9</f>
        <v>0</v>
      </c>
      <c r="M9" s="64" t="n">
        <f aca="false">FebYTD!M9-JAN2000!M9</f>
        <v>0</v>
      </c>
      <c r="N9" s="64" t="n">
        <f aca="false">M9+L9</f>
        <v>0</v>
      </c>
      <c r="O9" s="64" t="n">
        <f aca="false">FebYTD!O9-JAN2000!O9</f>
        <v>4804.197</v>
      </c>
      <c r="P9" s="64" t="n">
        <f aca="false">FebYTD!P9-JAN2000!P9</f>
        <v>0</v>
      </c>
      <c r="R9" s="50"/>
    </row>
    <row r="10" customFormat="false" ht="12.75" hidden="false" customHeight="true" outlineLevel="4" collapsed="false">
      <c r="A10" s="57" t="s">
        <v>42</v>
      </c>
      <c r="B10" s="65" t="n">
        <f aca="false">B8+B9</f>
        <v>28573.906</v>
      </c>
      <c r="C10" s="58"/>
      <c r="D10" s="65" t="n">
        <f aca="false">D8+D9</f>
        <v>29916.399</v>
      </c>
      <c r="E10" s="65" t="n">
        <f aca="false">E8+E9</f>
        <v>18432.265</v>
      </c>
      <c r="F10" s="65" t="n">
        <f aca="false">F8+F9</f>
        <v>4398.604</v>
      </c>
      <c r="G10" s="65" t="n">
        <f aca="false">G8+G9</f>
        <v>1854.887</v>
      </c>
      <c r="H10" s="65" t="n">
        <f aca="false">H8+H9</f>
        <v>450.234</v>
      </c>
      <c r="I10" s="65" t="n">
        <f aca="false">I8+I9</f>
        <v>0.00100000000000078</v>
      </c>
      <c r="J10" s="65" t="n">
        <f aca="false">J8+J9</f>
        <v>195.019</v>
      </c>
      <c r="K10" s="65" t="n">
        <f aca="false">K8+K9</f>
        <v>21.2039999999999</v>
      </c>
      <c r="L10" s="65" t="n">
        <f aca="false">L8+L9</f>
        <v>-25.801</v>
      </c>
      <c r="M10" s="65" t="n">
        <f aca="false">M8+M9</f>
        <v>0</v>
      </c>
      <c r="N10" s="65" t="n">
        <f aca="false">N8</f>
        <v>-25.801</v>
      </c>
      <c r="O10" s="65" t="n">
        <f aca="false">O8+O9</f>
        <v>4589.986</v>
      </c>
      <c r="P10" s="65" t="n">
        <f aca="false">P8+P9</f>
        <v>0</v>
      </c>
      <c r="R10" s="65" t="n">
        <f aca="false">R8+R9</f>
        <v>-1342.493</v>
      </c>
    </row>
    <row r="11" customFormat="false" ht="12.75" hidden="false" customHeight="true" outlineLevel="4" collapsed="false">
      <c r="A11" s="57"/>
      <c r="B11" s="65"/>
      <c r="C11" s="58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R11" s="65"/>
    </row>
    <row r="12" customFormat="false" ht="12.75" hidden="false" customHeight="true" outlineLevel="4" collapsed="false">
      <c r="A12" s="57" t="s">
        <v>43</v>
      </c>
      <c r="B12" s="58" t="n">
        <f aca="false">D12+R12</f>
        <v>5029.55</v>
      </c>
      <c r="C12" s="58"/>
      <c r="D12" s="62" t="n">
        <f aca="false">SUM(E12:M12)+O12+P12</f>
        <v>5029.55</v>
      </c>
      <c r="E12" s="62" t="n">
        <f aca="false">FebYTD!E12-JAN2000!E12</f>
        <v>3411.939</v>
      </c>
      <c r="F12" s="62" t="n">
        <f aca="false">FebYTD!F12-JAN2000!F12</f>
        <v>1606.457</v>
      </c>
      <c r="G12" s="62" t="n">
        <f aca="false">FebYTD!G12-JAN2000!G12</f>
        <v>0</v>
      </c>
      <c r="H12" s="62" t="n">
        <f aca="false">FebYTD!H12-JAN2000!H12</f>
        <v>0</v>
      </c>
      <c r="I12" s="62" t="n">
        <f aca="false">FebYTD!I12-JAN2000!I12</f>
        <v>0</v>
      </c>
      <c r="J12" s="62" t="n">
        <f aca="false">FebYTD!J12-JAN2000!J12</f>
        <v>0</v>
      </c>
      <c r="K12" s="62" t="n">
        <f aca="false">FebYTD!K12-JAN2000!K12</f>
        <v>0</v>
      </c>
      <c r="L12" s="62" t="n">
        <f aca="false">FebYTD!L12-JAN2000!L12</f>
        <v>11.154</v>
      </c>
      <c r="M12" s="62" t="n">
        <f aca="false">FebYTD!M12-JAN2000!M12</f>
        <v>0</v>
      </c>
      <c r="N12" s="62" t="n">
        <f aca="false">M12+L12</f>
        <v>11.154</v>
      </c>
      <c r="O12" s="62" t="n">
        <f aca="false">FebYTD!O12-JAN2000!O12</f>
        <v>0</v>
      </c>
      <c r="P12" s="62" t="n">
        <f aca="false">FebYTD!P12-JAN2000!P12</f>
        <v>0</v>
      </c>
      <c r="R12" s="40" t="n">
        <f aca="false">[17]JAN_YTD!$H$11</f>
        <v>0</v>
      </c>
    </row>
    <row r="13" customFormat="false" ht="12.75" hidden="false" customHeight="true" outlineLevel="4" collapsed="false">
      <c r="A13" s="57" t="s">
        <v>45</v>
      </c>
      <c r="B13" s="58" t="n">
        <f aca="false">D13+R13</f>
        <v>1709.104</v>
      </c>
      <c r="C13" s="58"/>
      <c r="D13" s="62" t="n">
        <f aca="false">SUM(E13:M13)+O13+P13</f>
        <v>1704.041</v>
      </c>
      <c r="E13" s="62" t="n">
        <f aca="false">FebYTD!E13-JAN2000!E13</f>
        <v>1565.52</v>
      </c>
      <c r="F13" s="62" t="n">
        <f aca="false">FebYTD!F13-JAN2000!F13</f>
        <v>66.0480000000001</v>
      </c>
      <c r="G13" s="62" t="n">
        <f aca="false">FebYTD!G13-JAN2000!G13</f>
        <v>0</v>
      </c>
      <c r="H13" s="62" t="n">
        <f aca="false">FebYTD!H13-JAN2000!H13</f>
        <v>67.775</v>
      </c>
      <c r="I13" s="62" t="n">
        <f aca="false">FebYTD!I13-JAN2000!I13</f>
        <v>0</v>
      </c>
      <c r="J13" s="62" t="n">
        <f aca="false">FebYTD!J13-JAN2000!J13</f>
        <v>0</v>
      </c>
      <c r="K13" s="62" t="n">
        <f aca="false">FebYTD!K13-JAN2000!K13</f>
        <v>-1.215</v>
      </c>
      <c r="L13" s="62" t="n">
        <f aca="false">FebYTD!L13-JAN2000!L13</f>
        <v>5.913</v>
      </c>
      <c r="M13" s="62" t="n">
        <f aca="false">FebYTD!M13-JAN2000!M13</f>
        <v>0</v>
      </c>
      <c r="N13" s="62" t="n">
        <f aca="false">M13+L13</f>
        <v>5.913</v>
      </c>
      <c r="O13" s="62" t="n">
        <f aca="false">FebYTD!O13-JAN2000!O13</f>
        <v>0</v>
      </c>
      <c r="P13" s="62" t="n">
        <f aca="false">FebYTD!P13-JAN2000!P13</f>
        <v>0</v>
      </c>
      <c r="R13" s="40" t="n">
        <f aca="false">[21]FEB_MO!$H$13</f>
        <v>5.063</v>
      </c>
    </row>
    <row r="14" customFormat="false" ht="12.75" hidden="false" customHeight="true" outlineLevel="4" collapsed="false">
      <c r="A14" s="57" t="s">
        <v>47</v>
      </c>
      <c r="B14" s="58" t="n">
        <f aca="false">D14+R14</f>
        <v>0</v>
      </c>
      <c r="C14" s="58"/>
      <c r="D14" s="62" t="n">
        <f aca="false">SUM(E14:M14)+O14+P14</f>
        <v>0</v>
      </c>
      <c r="E14" s="62" t="n">
        <f aca="false">FebYTD!E14-JAN2000!E14</f>
        <v>0</v>
      </c>
      <c r="F14" s="62" t="n">
        <f aca="false">FebYTD!F14-JAN2000!F14</f>
        <v>0</v>
      </c>
      <c r="G14" s="62" t="n">
        <f aca="false">FebYTD!G14-JAN2000!G14</f>
        <v>0</v>
      </c>
      <c r="H14" s="62" t="n">
        <f aca="false">FebYTD!H14-JAN2000!H14</f>
        <v>0</v>
      </c>
      <c r="I14" s="62" t="n">
        <f aca="false">FebYTD!I14-JAN2000!I14</f>
        <v>0</v>
      </c>
      <c r="J14" s="62" t="n">
        <f aca="false">FebYTD!J14-JAN2000!J14</f>
        <v>0</v>
      </c>
      <c r="K14" s="62" t="n">
        <f aca="false">FebYTD!K14-JAN2000!K14</f>
        <v>0</v>
      </c>
      <c r="L14" s="62" t="n">
        <f aca="false">FebYTD!L14-JAN2000!L14</f>
        <v>0</v>
      </c>
      <c r="M14" s="62" t="n">
        <f aca="false">FebYTD!M14-JAN2000!M14</f>
        <v>0</v>
      </c>
      <c r="N14" s="62" t="n">
        <f aca="false">M14+L14</f>
        <v>0</v>
      </c>
      <c r="O14" s="62" t="n">
        <f aca="false">FebYTD!O14-JAN2000!O14</f>
        <v>0</v>
      </c>
      <c r="P14" s="62" t="n">
        <f aca="false">FebYTD!P14-JAN2000!P14</f>
        <v>0</v>
      </c>
    </row>
    <row r="15" customFormat="false" ht="12.75" hidden="false" customHeight="true" outlineLevel="4" collapsed="false">
      <c r="A15" s="57" t="s">
        <v>48</v>
      </c>
      <c r="B15" s="58" t="n">
        <f aca="false">D15+R15</f>
        <v>0</v>
      </c>
      <c r="C15" s="58"/>
      <c r="D15" s="62" t="n">
        <f aca="false">SUM(E15:M15)+O15+P15</f>
        <v>0</v>
      </c>
      <c r="E15" s="62" t="n">
        <f aca="false">FebYTD!E15-JAN2000!E15</f>
        <v>0</v>
      </c>
      <c r="F15" s="62" t="n">
        <f aca="false">FebYTD!F15-JAN2000!F15</f>
        <v>0</v>
      </c>
      <c r="G15" s="62" t="n">
        <f aca="false">FebYTD!G15-JAN2000!G15</f>
        <v>0</v>
      </c>
      <c r="H15" s="62" t="n">
        <f aca="false">FebYTD!H15-JAN2000!H15</f>
        <v>0</v>
      </c>
      <c r="I15" s="62" t="n">
        <f aca="false">FebYTD!I15-JAN2000!I15</f>
        <v>0</v>
      </c>
      <c r="J15" s="62" t="n">
        <f aca="false">FebYTD!J15-JAN2000!J15</f>
        <v>0</v>
      </c>
      <c r="K15" s="62" t="n">
        <f aca="false">FebYTD!K15-JAN2000!K15</f>
        <v>0</v>
      </c>
      <c r="L15" s="62" t="n">
        <f aca="false">FebYTD!L15-JAN2000!L15</f>
        <v>0</v>
      </c>
      <c r="M15" s="62" t="n">
        <f aca="false">FebYTD!M15-JAN2000!M15</f>
        <v>0</v>
      </c>
      <c r="N15" s="62" t="n">
        <f aca="false">M15+L15</f>
        <v>0</v>
      </c>
      <c r="O15" s="62" t="n">
        <f aca="false">FebYTD!O15-JAN2000!O15</f>
        <v>0</v>
      </c>
      <c r="P15" s="62" t="n">
        <f aca="false">FebYTD!P15-JAN2000!P15</f>
        <v>0</v>
      </c>
    </row>
    <row r="16" customFormat="false" ht="12.75" hidden="false" customHeight="true" outlineLevel="4" collapsed="false">
      <c r="A16" s="57" t="s">
        <v>51</v>
      </c>
      <c r="B16" s="58" t="n">
        <f aca="false">D16+R16</f>
        <v>-704.4</v>
      </c>
      <c r="C16" s="58"/>
      <c r="D16" s="62" t="n">
        <f aca="false">SUM(E16:M16)+O16+P16</f>
        <v>-2887.964</v>
      </c>
      <c r="E16" s="62" t="n">
        <f aca="false">FebYTD!E16-JAN2000!E16</f>
        <v>-346.133</v>
      </c>
      <c r="F16" s="62" t="n">
        <f aca="false">FebYTD!F16-JAN2000!F16</f>
        <v>0</v>
      </c>
      <c r="G16" s="62" t="n">
        <f aca="false">FebYTD!G16-JAN2000!G16</f>
        <v>-1854.887</v>
      </c>
      <c r="H16" s="62" t="n">
        <f aca="false">FebYTD!H16-JAN2000!H16</f>
        <v>-686.944</v>
      </c>
      <c r="I16" s="62" t="n">
        <f aca="false">FebYTD!I16-JAN2000!I16</f>
        <v>0</v>
      </c>
      <c r="J16" s="62" t="n">
        <f aca="false">FebYTD!J16-JAN2000!J16</f>
        <v>0</v>
      </c>
      <c r="K16" s="62" t="n">
        <f aca="false">FebYTD!K16-JAN2000!K16</f>
        <v>0</v>
      </c>
      <c r="L16" s="62" t="n">
        <f aca="false">FebYTD!L16-JAN2000!L16</f>
        <v>0</v>
      </c>
      <c r="M16" s="62" t="n">
        <f aca="false">FebYTD!M16-JAN2000!M16</f>
        <v>0</v>
      </c>
      <c r="N16" s="62" t="n">
        <f aca="false">M16+L16</f>
        <v>0</v>
      </c>
      <c r="O16" s="62" t="n">
        <f aca="false">FebYTD!O16-JAN2000!O16</f>
        <v>0</v>
      </c>
      <c r="P16" s="62" t="n">
        <f aca="false">FebYTD!P16-JAN2000!P16</f>
        <v>0</v>
      </c>
      <c r="R16" s="40" t="n">
        <f aca="false">[21]FEB_MO!$H$19</f>
        <v>2183.564</v>
      </c>
    </row>
    <row r="17" customFormat="false" ht="12.75" hidden="false" customHeight="true" outlineLevel="4" collapsed="false">
      <c r="A17" s="57" t="s">
        <v>52</v>
      </c>
      <c r="B17" s="58" t="n">
        <f aca="false">D17+R17</f>
        <v>2482</v>
      </c>
      <c r="C17" s="58"/>
      <c r="D17" s="62" t="n">
        <f aca="false">SUM(E17:M17)+O17+P17</f>
        <v>816</v>
      </c>
      <c r="E17" s="62" t="n">
        <f aca="false">FebYTD!E17-JAN2000!E17</f>
        <v>0</v>
      </c>
      <c r="F17" s="62" t="n">
        <f aca="false">FebYTD!F17-JAN2000!F17</f>
        <v>0</v>
      </c>
      <c r="G17" s="62" t="n">
        <f aca="false">FebYTD!G17-JAN2000!G17</f>
        <v>0</v>
      </c>
      <c r="H17" s="62" t="n">
        <f aca="false">FebYTD!H17-JAN2000!H17</f>
        <v>816</v>
      </c>
      <c r="I17" s="62" t="n">
        <f aca="false">FebYTD!I17-JAN2000!I17</f>
        <v>0</v>
      </c>
      <c r="J17" s="62" t="n">
        <f aca="false">FebYTD!J17-JAN2000!J17</f>
        <v>0</v>
      </c>
      <c r="K17" s="62" t="n">
        <f aca="false">FebYTD!K17-JAN2000!K17</f>
        <v>0</v>
      </c>
      <c r="L17" s="62" t="n">
        <f aca="false">FebYTD!L17-JAN2000!L17</f>
        <v>0</v>
      </c>
      <c r="M17" s="62" t="n">
        <f aca="false">FebYTD!M17-JAN2000!M17</f>
        <v>0</v>
      </c>
      <c r="N17" s="62" t="n">
        <f aca="false">M17+L17</f>
        <v>0</v>
      </c>
      <c r="O17" s="62" t="n">
        <f aca="false">FebYTD!O17-JAN2000!O17</f>
        <v>0</v>
      </c>
      <c r="P17" s="62" t="n">
        <f aca="false">FebYTD!P17-JAN2000!P17</f>
        <v>0</v>
      </c>
      <c r="R17" s="40" t="n">
        <f aca="false">[21]FEB_MO!$H$20</f>
        <v>1666</v>
      </c>
    </row>
    <row r="18" customFormat="false" ht="12.75" hidden="false" customHeight="true" outlineLevel="4" collapsed="false">
      <c r="A18" s="57" t="s">
        <v>53</v>
      </c>
      <c r="B18" s="63" t="n">
        <f aca="false">D18+R18</f>
        <v>-23778</v>
      </c>
      <c r="C18" s="58"/>
      <c r="D18" s="62" t="n">
        <f aca="false">SUM(E18:M18)+O18+P18</f>
        <v>-23777</v>
      </c>
      <c r="E18" s="62" t="n">
        <f aca="false">FebYTD!E18-JAN2000!E18</f>
        <v>-470</v>
      </c>
      <c r="F18" s="62" t="n">
        <f aca="false">FebYTD!F18-JAN2000!F18</f>
        <v>306</v>
      </c>
      <c r="G18" s="62" t="n">
        <f aca="false">FebYTD!G18-JAN2000!G18</f>
        <v>0</v>
      </c>
      <c r="H18" s="62" t="n">
        <f aca="false">FebYTD!H18-JAN2000!H18</f>
        <v>0</v>
      </c>
      <c r="I18" s="62" t="n">
        <f aca="false">FebYTD!I18-JAN2000!I18</f>
        <v>0</v>
      </c>
      <c r="J18" s="62" t="n">
        <f aca="false">FebYTD!J18-JAN2000!J18</f>
        <v>-242</v>
      </c>
      <c r="K18" s="62" t="n">
        <f aca="false">FebYTD!K18-JAN2000!K18</f>
        <v>0</v>
      </c>
      <c r="L18" s="62" t="n">
        <f aca="false">FebYTD!L18-JAN2000!L18</f>
        <v>-13</v>
      </c>
      <c r="M18" s="62" t="n">
        <f aca="false">FebYTD!M18-JAN2000!M18</f>
        <v>-16745</v>
      </c>
      <c r="N18" s="62" t="n">
        <f aca="false">M18+L18</f>
        <v>-16758</v>
      </c>
      <c r="O18" s="62" t="n">
        <f aca="false">FebYTD!O18-JAN2000!O18</f>
        <v>-6552</v>
      </c>
      <c r="P18" s="62" t="n">
        <f aca="false">FebYTD!P18-JAN2000!P18</f>
        <v>-61</v>
      </c>
      <c r="R18" s="50" t="n">
        <f aca="false">[21]FEB_MO!$H$21</f>
        <v>-1</v>
      </c>
    </row>
    <row r="19" customFormat="false" ht="12.75" hidden="false" customHeight="true" outlineLevel="4" collapsed="false">
      <c r="A19" s="57" t="s">
        <v>54</v>
      </c>
      <c r="B19" s="66" t="n">
        <f aca="false">SUM(B10:B18)</f>
        <v>13312.16</v>
      </c>
      <c r="C19" s="58"/>
      <c r="D19" s="66" t="n">
        <f aca="false">SUM(D10:D18)</f>
        <v>10801.026</v>
      </c>
      <c r="E19" s="66" t="n">
        <f aca="false">SUM(E10:E18)</f>
        <v>22593.591</v>
      </c>
      <c r="F19" s="66" t="n">
        <f aca="false">SUM(F10:F18)</f>
        <v>6377.109</v>
      </c>
      <c r="G19" s="66" t="n">
        <f aca="false">SUM(G10:G18)</f>
        <v>0</v>
      </c>
      <c r="H19" s="66" t="n">
        <f aca="false">SUM(H10:H18)</f>
        <v>647.065</v>
      </c>
      <c r="I19" s="66" t="n">
        <f aca="false">SUM(I10:I18)</f>
        <v>0.00100000000000078</v>
      </c>
      <c r="J19" s="66" t="n">
        <f aca="false">SUM(J10:J18)</f>
        <v>-46.9809999999999</v>
      </c>
      <c r="K19" s="66" t="n">
        <f aca="false">SUM(K10:K18)</f>
        <v>19.9889999999999</v>
      </c>
      <c r="L19" s="66" t="n">
        <f aca="false">SUM(L10:L18)</f>
        <v>-21.734</v>
      </c>
      <c r="M19" s="66" t="n">
        <f aca="false">SUM(M10:M18)</f>
        <v>-16745</v>
      </c>
      <c r="N19" s="66" t="n">
        <f aca="false">SUM(N10:N18)</f>
        <v>-16766.734</v>
      </c>
      <c r="O19" s="66" t="n">
        <f aca="false">SUM(O10:O18)</f>
        <v>-1962.014</v>
      </c>
      <c r="P19" s="66" t="n">
        <f aca="false">SUM(P10:P18)</f>
        <v>-61</v>
      </c>
      <c r="R19" s="66" t="n">
        <f aca="false">SUM(R10:R18)</f>
        <v>2511.134</v>
      </c>
    </row>
    <row r="20" customFormat="false" ht="12.75" hidden="false" customHeight="true" outlineLevel="4" collapsed="false">
      <c r="A20" s="57"/>
      <c r="B20" s="42"/>
      <c r="C20" s="58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R20" s="42"/>
    </row>
    <row r="21" customFormat="false" ht="12.75" hidden="false" customHeight="true" outlineLevel="4" collapsed="false">
      <c r="A21" s="57" t="s">
        <v>103</v>
      </c>
      <c r="B21" s="58"/>
      <c r="C21" s="58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</row>
    <row r="22" customFormat="false" ht="12.75" hidden="false" customHeight="true" outlineLevel="4" collapsed="false">
      <c r="A22" s="57" t="s">
        <v>56</v>
      </c>
      <c r="B22" s="58" t="n">
        <f aca="false">D22+R22</f>
        <v>-1419</v>
      </c>
      <c r="C22" s="58"/>
      <c r="D22" s="62" t="n">
        <f aca="false">SUM(E22:M22)+O22+P22</f>
        <v>-1522</v>
      </c>
      <c r="E22" s="62" t="n">
        <f aca="false">FebYTD!E22-JAN2000!E22</f>
        <v>561</v>
      </c>
      <c r="F22" s="62" t="n">
        <f aca="false">FebYTD!F22-JAN2000!F22</f>
        <v>493</v>
      </c>
      <c r="G22" s="62" t="n">
        <f aca="false">FebYTD!G22-JAN2000!G22</f>
        <v>0</v>
      </c>
      <c r="H22" s="62" t="n">
        <f aca="false">FebYTD!H22-JAN2000!H22</f>
        <v>3</v>
      </c>
      <c r="I22" s="62" t="n">
        <f aca="false">FebYTD!I22-JAN2000!I22</f>
        <v>3</v>
      </c>
      <c r="J22" s="62" t="n">
        <f aca="false">FebYTD!J22-JAN2000!J22</f>
        <v>-232</v>
      </c>
      <c r="K22" s="62" t="n">
        <f aca="false">FebYTD!K22-JAN2000!K22</f>
        <v>48</v>
      </c>
      <c r="L22" s="62" t="n">
        <f aca="false">FebYTD!L22-JAN2000!L22</f>
        <v>0</v>
      </c>
      <c r="M22" s="62" t="n">
        <f aca="false">FebYTD!M22-JAN2000!M22</f>
        <v>0</v>
      </c>
      <c r="N22" s="62" t="n">
        <f aca="false">M22+L22</f>
        <v>0</v>
      </c>
      <c r="O22" s="62" t="n">
        <f aca="false">FebYTD!O22-JAN2000!O22</f>
        <v>-2418</v>
      </c>
      <c r="P22" s="62" t="n">
        <f aca="false">FebYTD!P22-JAN2000!P22</f>
        <v>20</v>
      </c>
      <c r="R22" s="40" t="n">
        <f aca="false">[21]FEB_MO!$H$24</f>
        <v>103</v>
      </c>
    </row>
    <row r="23" customFormat="false" ht="12.75" hidden="false" customHeight="true" outlineLevel="4" collapsed="false">
      <c r="A23" s="57" t="s">
        <v>58</v>
      </c>
      <c r="B23" s="58" t="n">
        <f aca="false">D23+R23</f>
        <v>1110</v>
      </c>
      <c r="C23" s="58"/>
      <c r="D23" s="62" t="n">
        <f aca="false">SUM(E23:M23)+O23+P23</f>
        <v>1110</v>
      </c>
      <c r="E23" s="62" t="n">
        <f aca="false">FebYTD!E23-JAN2000!E23</f>
        <v>2563</v>
      </c>
      <c r="F23" s="62" t="n">
        <f aca="false">FebYTD!F23-JAN2000!F23</f>
        <v>1296</v>
      </c>
      <c r="G23" s="62" t="n">
        <f aca="false">FebYTD!G23-JAN2000!G23</f>
        <v>0</v>
      </c>
      <c r="H23" s="62" t="n">
        <f aca="false">FebYTD!H23-JAN2000!H23</f>
        <v>0</v>
      </c>
      <c r="I23" s="62" t="n">
        <f aca="false">FebYTD!I23-JAN2000!I23</f>
        <v>-3</v>
      </c>
      <c r="J23" s="62" t="n">
        <f aca="false">FebYTD!J23-JAN2000!J23</f>
        <v>24</v>
      </c>
      <c r="K23" s="62" t="n">
        <f aca="false">FebYTD!K23-JAN2000!K23</f>
        <v>-144</v>
      </c>
      <c r="L23" s="62" t="n">
        <f aca="false">FebYTD!L23-JAN2000!L23</f>
        <v>43</v>
      </c>
      <c r="M23" s="62" t="n">
        <f aca="false">FebYTD!M23-JAN2000!M23</f>
        <v>-16</v>
      </c>
      <c r="N23" s="62" t="n">
        <f aca="false">M23+L23</f>
        <v>27</v>
      </c>
      <c r="O23" s="62" t="n">
        <f aca="false">FebYTD!O23-JAN2000!O23</f>
        <v>-2712</v>
      </c>
      <c r="P23" s="62" t="n">
        <f aca="false">FebYTD!P23-JAN2000!P23</f>
        <v>59</v>
      </c>
      <c r="R23" s="40" t="n">
        <f aca="false">[17]JAN_YTD!$H$25</f>
        <v>0</v>
      </c>
    </row>
    <row r="24" customFormat="false" ht="12.75" hidden="false" customHeight="true" outlineLevel="4" collapsed="false">
      <c r="A24" s="57" t="s">
        <v>60</v>
      </c>
      <c r="B24" s="58" t="n">
        <f aca="false">D24+R24</f>
        <v>8</v>
      </c>
      <c r="C24" s="58"/>
      <c r="D24" s="62" t="n">
        <f aca="false">SUM(E24:M24)+O24+P24</f>
        <v>8</v>
      </c>
      <c r="E24" s="62" t="n">
        <f aca="false">FebYTD!E24-JAN2000!E24</f>
        <v>4</v>
      </c>
      <c r="F24" s="62" t="n">
        <f aca="false">FebYTD!F24-JAN2000!F24</f>
        <v>4</v>
      </c>
      <c r="G24" s="62" t="n">
        <f aca="false">FebYTD!G24-JAN2000!G24</f>
        <v>0</v>
      </c>
      <c r="H24" s="62" t="n">
        <f aca="false">FebYTD!H24-JAN2000!H24</f>
        <v>0</v>
      </c>
      <c r="I24" s="62" t="n">
        <f aca="false">FebYTD!I24-JAN2000!I24</f>
        <v>0</v>
      </c>
      <c r="J24" s="62" t="n">
        <f aca="false">FebYTD!J24-JAN2000!J24</f>
        <v>0</v>
      </c>
      <c r="K24" s="62" t="n">
        <f aca="false">FebYTD!K24-JAN2000!K24</f>
        <v>0</v>
      </c>
      <c r="L24" s="62" t="n">
        <f aca="false">FebYTD!L24-JAN2000!L24</f>
        <v>0</v>
      </c>
      <c r="M24" s="62" t="n">
        <f aca="false">FebYTD!M24-JAN2000!M24</f>
        <v>0</v>
      </c>
      <c r="N24" s="62" t="n">
        <f aca="false">M24+L24</f>
        <v>0</v>
      </c>
      <c r="O24" s="62" t="n">
        <f aca="false">FebYTD!O24-JAN2000!O24</f>
        <v>0</v>
      </c>
      <c r="P24" s="62" t="n">
        <f aca="false">FebYTD!P24-JAN2000!P24</f>
        <v>0</v>
      </c>
      <c r="R24" s="40" t="n">
        <f aca="false">[17]JAN_YTD!$H$27</f>
        <v>0</v>
      </c>
    </row>
    <row r="25" customFormat="false" ht="12.75" hidden="false" customHeight="true" outlineLevel="4" collapsed="false">
      <c r="A25" s="57" t="s">
        <v>61</v>
      </c>
      <c r="B25" s="58" t="n">
        <f aca="false">D25+R25</f>
        <v>104</v>
      </c>
      <c r="C25" s="58"/>
      <c r="D25" s="62" t="n">
        <f aca="false">SUM(E25:M25)+O25+P25</f>
        <v>104</v>
      </c>
      <c r="E25" s="62" t="n">
        <f aca="false">FebYTD!E25-JAN2000!E25</f>
        <v>90</v>
      </c>
      <c r="F25" s="62" t="n">
        <f aca="false">FebYTD!F25-JAN2000!F25</f>
        <v>14</v>
      </c>
      <c r="G25" s="62" t="n">
        <f aca="false">FebYTD!G25-JAN2000!G25</f>
        <v>0</v>
      </c>
      <c r="H25" s="62" t="n">
        <f aca="false">FebYTD!H25-JAN2000!H25</f>
        <v>0</v>
      </c>
      <c r="I25" s="62" t="n">
        <f aca="false">FebYTD!I25-JAN2000!I25</f>
        <v>0</v>
      </c>
      <c r="J25" s="62" t="n">
        <f aca="false">FebYTD!J25-JAN2000!J25</f>
        <v>0</v>
      </c>
      <c r="K25" s="62" t="n">
        <f aca="false">FebYTD!K25-JAN2000!K25</f>
        <v>0</v>
      </c>
      <c r="L25" s="62" t="n">
        <f aca="false">FebYTD!L25-JAN2000!L25</f>
        <v>0</v>
      </c>
      <c r="M25" s="62" t="n">
        <f aca="false">FebYTD!M25-JAN2000!M25</f>
        <v>0</v>
      </c>
      <c r="N25" s="62" t="n">
        <f aca="false">M25+L25</f>
        <v>0</v>
      </c>
      <c r="O25" s="62" t="n">
        <f aca="false">FebYTD!O25-JAN2000!O25</f>
        <v>0</v>
      </c>
      <c r="P25" s="62" t="n">
        <f aca="false">FebYTD!P25-JAN2000!P25</f>
        <v>0</v>
      </c>
      <c r="R25" s="40" t="n">
        <f aca="false">[17]JAN_YTD!$H$28</f>
        <v>0</v>
      </c>
    </row>
    <row r="26" customFormat="false" ht="12.75" hidden="false" customHeight="true" outlineLevel="4" collapsed="false">
      <c r="A26" s="57" t="s">
        <v>62</v>
      </c>
      <c r="B26" s="58" t="n">
        <f aca="false">D26+R26</f>
        <v>2938</v>
      </c>
      <c r="C26" s="58"/>
      <c r="D26" s="62" t="n">
        <f aca="false">SUM(E26:M26)+O26+P26</f>
        <v>2951</v>
      </c>
      <c r="E26" s="62" t="n">
        <f aca="false">FebYTD!E26-JAN2000!E26</f>
        <v>4644</v>
      </c>
      <c r="F26" s="62" t="n">
        <f aca="false">FebYTD!F26-JAN2000!F26</f>
        <v>-1321</v>
      </c>
      <c r="G26" s="62" t="n">
        <f aca="false">FebYTD!G26-JAN2000!G26</f>
        <v>0</v>
      </c>
      <c r="H26" s="62" t="n">
        <f aca="false">FebYTD!H26-JAN2000!H26</f>
        <v>379</v>
      </c>
      <c r="I26" s="62" t="n">
        <f aca="false">FebYTD!I26-JAN2000!I26</f>
        <v>0</v>
      </c>
      <c r="J26" s="62" t="n">
        <f aca="false">FebYTD!J26-JAN2000!J26</f>
        <v>-822</v>
      </c>
      <c r="K26" s="62" t="n">
        <f aca="false">FebYTD!K26-JAN2000!K26</f>
        <v>6</v>
      </c>
      <c r="L26" s="62" t="n">
        <f aca="false">FebYTD!L26-JAN2000!L26</f>
        <v>0</v>
      </c>
      <c r="M26" s="62" t="n">
        <f aca="false">FebYTD!M26-JAN2000!M26</f>
        <v>0</v>
      </c>
      <c r="N26" s="62" t="n">
        <f aca="false">M26+L26</f>
        <v>0</v>
      </c>
      <c r="O26" s="62" t="n">
        <f aca="false">FebYTD!O26-JAN2000!O26</f>
        <v>142</v>
      </c>
      <c r="P26" s="62" t="n">
        <f aca="false">FebYTD!P26-JAN2000!P26</f>
        <v>-77</v>
      </c>
      <c r="R26" s="40" t="n">
        <f aca="false">[21]FEB_MO!$H$29</f>
        <v>-13</v>
      </c>
    </row>
    <row r="27" customFormat="false" ht="12.75" hidden="false" customHeight="true" outlineLevel="4" collapsed="false">
      <c r="A27" s="57" t="s">
        <v>104</v>
      </c>
      <c r="B27" s="58" t="n">
        <f aca="false">D27+R27</f>
        <v>1030</v>
      </c>
      <c r="C27" s="58"/>
      <c r="D27" s="62" t="n">
        <f aca="false">SUM(E27:M27)+O27+P27</f>
        <v>1030</v>
      </c>
      <c r="E27" s="62" t="n">
        <f aca="false">FebYTD!E27-JAN2000!E27</f>
        <v>1652</v>
      </c>
      <c r="F27" s="62" t="n">
        <f aca="false">FebYTD!F27-JAN2000!F27</f>
        <v>-622</v>
      </c>
      <c r="G27" s="62" t="n">
        <f aca="false">FebYTD!G27-JAN2000!G27</f>
        <v>0</v>
      </c>
      <c r="H27" s="62" t="n">
        <f aca="false">FebYTD!H27-JAN2000!H27</f>
        <v>0</v>
      </c>
      <c r="I27" s="62" t="n">
        <f aca="false">FebYTD!I27-JAN2000!I27</f>
        <v>0</v>
      </c>
      <c r="J27" s="62" t="n">
        <f aca="false">FebYTD!J27-JAN2000!J27</f>
        <v>0</v>
      </c>
      <c r="K27" s="62" t="n">
        <f aca="false">FebYTD!K27-JAN2000!K27</f>
        <v>0</v>
      </c>
      <c r="L27" s="62" t="n">
        <f aca="false">FebYTD!L27-JAN2000!L27</f>
        <v>0</v>
      </c>
      <c r="M27" s="62" t="n">
        <f aca="false">FebYTD!M27-JAN2000!M27</f>
        <v>0</v>
      </c>
      <c r="N27" s="62" t="n">
        <f aca="false">M27+L27</f>
        <v>0</v>
      </c>
      <c r="O27" s="62" t="n">
        <f aca="false">FebYTD!O27-JAN2000!O27</f>
        <v>0</v>
      </c>
      <c r="P27" s="62" t="n">
        <f aca="false">FebYTD!P27-JAN2000!P27</f>
        <v>0</v>
      </c>
      <c r="R27" s="40" t="n">
        <f aca="false">[17]JAN_YTD!$H$30</f>
        <v>0</v>
      </c>
    </row>
    <row r="28" customFormat="false" ht="12.75" hidden="false" customHeight="true" outlineLevel="4" collapsed="false">
      <c r="A28" s="57" t="s">
        <v>64</v>
      </c>
      <c r="B28" s="58" t="n">
        <f aca="false">D28+R28</f>
        <v>2709</v>
      </c>
      <c r="C28" s="58"/>
      <c r="D28" s="62" t="n">
        <f aca="false">SUM(E28:M28)+O28+P28</f>
        <v>2756</v>
      </c>
      <c r="E28" s="62" t="n">
        <f aca="false">FebYTD!E28-JAN2000!E28</f>
        <v>2154</v>
      </c>
      <c r="F28" s="62" t="n">
        <f aca="false">FebYTD!F28-JAN2000!F28</f>
        <v>582</v>
      </c>
      <c r="G28" s="62" t="n">
        <f aca="false">FebYTD!G28-JAN2000!G28</f>
        <v>0</v>
      </c>
      <c r="H28" s="62" t="n">
        <f aca="false">FebYTD!H28-JAN2000!H28</f>
        <v>3</v>
      </c>
      <c r="I28" s="62" t="n">
        <f aca="false">FebYTD!I28-JAN2000!I28</f>
        <v>0</v>
      </c>
      <c r="J28" s="62" t="n">
        <f aca="false">FebYTD!J28-JAN2000!J28</f>
        <v>0</v>
      </c>
      <c r="K28" s="62" t="n">
        <f aca="false">FebYTD!K28-JAN2000!K28</f>
        <v>1</v>
      </c>
      <c r="L28" s="62" t="n">
        <f aca="false">FebYTD!L28-JAN2000!L28</f>
        <v>0</v>
      </c>
      <c r="M28" s="62" t="n">
        <f aca="false">FebYTD!M28-JAN2000!M28</f>
        <v>16</v>
      </c>
      <c r="N28" s="62" t="n">
        <f aca="false">M28+L28</f>
        <v>16</v>
      </c>
      <c r="O28" s="62" t="n">
        <f aca="false">FebYTD!O28-JAN2000!O28</f>
        <v>0</v>
      </c>
      <c r="P28" s="62" t="n">
        <f aca="false">FebYTD!P28-JAN2000!P28</f>
        <v>0</v>
      </c>
      <c r="R28" s="40" t="n">
        <f aca="false">[21]FEB_MO!$H$31</f>
        <v>-47</v>
      </c>
    </row>
    <row r="29" customFormat="false" ht="12.75" hidden="false" customHeight="true" outlineLevel="4" collapsed="false">
      <c r="A29" s="57" t="s">
        <v>65</v>
      </c>
      <c r="B29" s="58" t="n">
        <f aca="false">D29+R29</f>
        <v>3198</v>
      </c>
      <c r="C29" s="58"/>
      <c r="D29" s="62" t="n">
        <f aca="false">SUM(E29:M29)+O29+P29</f>
        <v>3198</v>
      </c>
      <c r="E29" s="62" t="n">
        <f aca="false">FebYTD!E29-JAN2000!E29</f>
        <v>2875</v>
      </c>
      <c r="F29" s="62" t="n">
        <f aca="false">FebYTD!F29-JAN2000!F29</f>
        <v>323</v>
      </c>
      <c r="G29" s="62" t="n">
        <f aca="false">FebYTD!G29-JAN2000!G29</f>
        <v>0</v>
      </c>
      <c r="H29" s="62" t="n">
        <f aca="false">FebYTD!H29-JAN2000!H29</f>
        <v>0</v>
      </c>
      <c r="I29" s="62" t="n">
        <f aca="false">FebYTD!I29-JAN2000!I29</f>
        <v>0</v>
      </c>
      <c r="J29" s="62" t="n">
        <f aca="false">FebYTD!J29-JAN2000!J29</f>
        <v>0</v>
      </c>
      <c r="K29" s="62" t="n">
        <f aca="false">FebYTD!K29-JAN2000!K29</f>
        <v>0</v>
      </c>
      <c r="L29" s="62" t="n">
        <f aca="false">FebYTD!L29-JAN2000!L29</f>
        <v>0</v>
      </c>
      <c r="M29" s="62" t="n">
        <f aca="false">FebYTD!M29-JAN2000!M29</f>
        <v>0</v>
      </c>
      <c r="N29" s="62" t="n">
        <f aca="false">M29+L29</f>
        <v>0</v>
      </c>
      <c r="O29" s="62" t="n">
        <f aca="false">FebYTD!O29-JAN2000!O29</f>
        <v>0</v>
      </c>
      <c r="P29" s="62" t="n">
        <f aca="false">FebYTD!P29-JAN2000!P29</f>
        <v>0</v>
      </c>
      <c r="R29" s="40" t="n">
        <f aca="false">[17]JAN_YTD!$H$32</f>
        <v>0</v>
      </c>
    </row>
    <row r="30" customFormat="false" ht="12.75" hidden="false" customHeight="true" outlineLevel="4" collapsed="false">
      <c r="A30" s="57" t="s">
        <v>66</v>
      </c>
      <c r="B30" s="63" t="n">
        <f aca="false">D30+R30</f>
        <v>-10629</v>
      </c>
      <c r="C30" s="58"/>
      <c r="D30" s="62" t="n">
        <f aca="false">SUM(E30:M30)+O30+P30</f>
        <v>-10629</v>
      </c>
      <c r="E30" s="62" t="n">
        <f aca="false">FebYTD!E30-JAN2000!E30</f>
        <v>-5385</v>
      </c>
      <c r="F30" s="62" t="n">
        <f aca="false">FebYTD!F30-JAN2000!F30</f>
        <v>-834</v>
      </c>
      <c r="G30" s="62" t="n">
        <f aca="false">FebYTD!G30-JAN2000!G30</f>
        <v>0</v>
      </c>
      <c r="H30" s="62" t="n">
        <f aca="false">FebYTD!H30-JAN2000!H30</f>
        <v>-1468</v>
      </c>
      <c r="I30" s="62" t="n">
        <f aca="false">FebYTD!I30-JAN2000!I30</f>
        <v>0</v>
      </c>
      <c r="J30" s="62" t="n">
        <f aca="false">FebYTD!J30-JAN2000!J30</f>
        <v>0</v>
      </c>
      <c r="K30" s="62" t="n">
        <f aca="false">FebYTD!K30-JAN2000!K30</f>
        <v>0</v>
      </c>
      <c r="L30" s="62" t="n">
        <f aca="false">FebYTD!L30-JAN2000!L30</f>
        <v>0</v>
      </c>
      <c r="M30" s="62" t="n">
        <f aca="false">FebYTD!M30-JAN2000!M30</f>
        <v>0</v>
      </c>
      <c r="N30" s="62" t="n">
        <f aca="false">M30+L30</f>
        <v>0</v>
      </c>
      <c r="O30" s="62" t="n">
        <f aca="false">FebYTD!O30-JAN2000!O30</f>
        <v>-2942</v>
      </c>
      <c r="P30" s="62" t="n">
        <f aca="false">FebYTD!P30-JAN2000!P30</f>
        <v>0</v>
      </c>
      <c r="R30" s="50" t="n">
        <f aca="false">[17]JAN_YTD!$H$33</f>
        <v>0</v>
      </c>
    </row>
    <row r="31" customFormat="false" ht="12.75" hidden="false" customHeight="true" outlineLevel="4" collapsed="false">
      <c r="A31" s="57" t="s">
        <v>67</v>
      </c>
      <c r="B31" s="67" t="n">
        <f aca="false">SUM(B21:B30)</f>
        <v>-951</v>
      </c>
      <c r="C31" s="68"/>
      <c r="D31" s="67" t="n">
        <f aca="false">SUM(D21:D30)</f>
        <v>-994</v>
      </c>
      <c r="E31" s="67" t="n">
        <f aca="false">SUM(E21:E30)</f>
        <v>9158</v>
      </c>
      <c r="F31" s="67" t="n">
        <f aca="false">SUM(F21:F30)</f>
        <v>-65</v>
      </c>
      <c r="G31" s="67" t="n">
        <f aca="false">SUM(G21:G30)</f>
        <v>0</v>
      </c>
      <c r="H31" s="67" t="n">
        <f aca="false">SUM(H21:H30)</f>
        <v>-1083</v>
      </c>
      <c r="I31" s="67" t="n">
        <f aca="false">SUM(I21:I30)</f>
        <v>0</v>
      </c>
      <c r="J31" s="67" t="n">
        <f aca="false">SUM(J21:J30)</f>
        <v>-1030</v>
      </c>
      <c r="K31" s="67" t="n">
        <f aca="false">SUM(K21:K30)</f>
        <v>-89</v>
      </c>
      <c r="L31" s="67" t="n">
        <f aca="false">SUM(L21:L30)</f>
        <v>43</v>
      </c>
      <c r="M31" s="67" t="n">
        <f aca="false">SUM(M21:M30)</f>
        <v>0</v>
      </c>
      <c r="N31" s="67" t="n">
        <f aca="false">SUM(N21:N30)</f>
        <v>43</v>
      </c>
      <c r="O31" s="67" t="n">
        <f aca="false">SUM(O21:O30)</f>
        <v>-7930</v>
      </c>
      <c r="P31" s="67" t="n">
        <f aca="false">SUM(P21:P30)</f>
        <v>2</v>
      </c>
      <c r="R31" s="67" t="n">
        <f aca="false">SUM(R21:R30)</f>
        <v>43</v>
      </c>
    </row>
    <row r="32" customFormat="false" ht="12.75" hidden="false" customHeight="true" outlineLevel="4" collapsed="false">
      <c r="A32" s="57"/>
      <c r="B32" s="69"/>
      <c r="C32" s="68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42"/>
      <c r="R32" s="69"/>
    </row>
    <row r="33" customFormat="false" ht="12.75" hidden="false" customHeight="true" outlineLevel="3" collapsed="false">
      <c r="A33" s="57" t="s">
        <v>68</v>
      </c>
      <c r="B33" s="70" t="n">
        <f aca="false">B19+B31</f>
        <v>12361.16</v>
      </c>
      <c r="C33" s="58"/>
      <c r="D33" s="70" t="n">
        <f aca="false">D19+D31</f>
        <v>9807.02599999997</v>
      </c>
      <c r="E33" s="70" t="n">
        <f aca="false">E19+E31</f>
        <v>31751.591</v>
      </c>
      <c r="F33" s="70" t="n">
        <f aca="false">F19+F31</f>
        <v>6312.109</v>
      </c>
      <c r="G33" s="70" t="n">
        <f aca="false">G19+G31</f>
        <v>0</v>
      </c>
      <c r="H33" s="70" t="n">
        <f aca="false">H19+H31</f>
        <v>-435.935</v>
      </c>
      <c r="I33" s="70" t="n">
        <f aca="false">I19+I31</f>
        <v>0.00100000000000078</v>
      </c>
      <c r="J33" s="70" t="n">
        <f aca="false">J19+J31</f>
        <v>-1076.981</v>
      </c>
      <c r="K33" s="70" t="n">
        <f aca="false">K19+K31</f>
        <v>-69.0110000000001</v>
      </c>
      <c r="L33" s="70" t="n">
        <f aca="false">L19+L31</f>
        <v>21.266</v>
      </c>
      <c r="M33" s="70" t="n">
        <f aca="false">M19+M31</f>
        <v>-16745</v>
      </c>
      <c r="N33" s="70" t="n">
        <f aca="false">N19+N31</f>
        <v>-16723.734</v>
      </c>
      <c r="O33" s="70" t="n">
        <f aca="false">O19+O31</f>
        <v>-9892.014</v>
      </c>
      <c r="P33" s="70" t="n">
        <f aca="false">P19+P31</f>
        <v>-59</v>
      </c>
      <c r="R33" s="70" t="n">
        <f aca="false">R19+R31</f>
        <v>2554.134</v>
      </c>
    </row>
    <row r="34" customFormat="false" ht="12.75" hidden="false" customHeight="true" outlineLevel="3" collapsed="false">
      <c r="B34" s="58"/>
      <c r="C34" s="58"/>
    </row>
    <row r="35" customFormat="false" ht="12.75" hidden="false" customHeight="true" outlineLevel="3" collapsed="false">
      <c r="A35" s="61" t="s">
        <v>69</v>
      </c>
      <c r="B35" s="58"/>
      <c r="C35" s="58"/>
    </row>
    <row r="36" customFormat="false" ht="12.75" hidden="false" customHeight="true" outlineLevel="4" collapsed="false">
      <c r="A36" s="57" t="s">
        <v>70</v>
      </c>
      <c r="B36" s="58" t="n">
        <f aca="false">D36+R36</f>
        <v>61</v>
      </c>
      <c r="C36" s="58"/>
      <c r="D36" s="62" t="n">
        <f aca="false">SUM(E36:M36)+O36+P36</f>
        <v>61</v>
      </c>
      <c r="E36" s="62" t="n">
        <f aca="false">FebYTD!E36-JAN2000!E36</f>
        <v>61</v>
      </c>
      <c r="F36" s="62" t="n">
        <f aca="false">FebYTD!F36-JAN2000!F36</f>
        <v>0</v>
      </c>
      <c r="G36" s="62" t="n">
        <f aca="false">FebYTD!G36-JAN2000!G36</f>
        <v>0</v>
      </c>
      <c r="H36" s="62" t="n">
        <f aca="false">FebYTD!H36-JAN2000!H36</f>
        <v>0</v>
      </c>
      <c r="I36" s="62" t="n">
        <f aca="false">FebYTD!I36-JAN2000!I36</f>
        <v>0</v>
      </c>
      <c r="J36" s="62" t="n">
        <f aca="false">FebYTD!J36-JAN2000!J36</f>
        <v>0</v>
      </c>
      <c r="K36" s="62" t="n">
        <f aca="false">FebYTD!K36-JAN2000!K36</f>
        <v>0</v>
      </c>
      <c r="L36" s="62" t="n">
        <f aca="false">FebYTD!L36-JAN2000!L36</f>
        <v>0</v>
      </c>
      <c r="M36" s="62" t="n">
        <f aca="false">FebYTD!M36-JAN2000!M36</f>
        <v>0</v>
      </c>
      <c r="N36" s="76"/>
      <c r="O36" s="62" t="n">
        <f aca="false">FebYTD!O36-JAN2000!O36</f>
        <v>0</v>
      </c>
      <c r="P36" s="62" t="n">
        <f aca="false">FebYTD!P36-JAN2000!P36</f>
        <v>0</v>
      </c>
    </row>
    <row r="37" customFormat="false" ht="12.75" hidden="false" customHeight="true" outlineLevel="4" collapsed="false">
      <c r="A37" s="57" t="s">
        <v>71</v>
      </c>
      <c r="B37" s="58" t="n">
        <f aca="false">D37+R37</f>
        <v>-2862</v>
      </c>
      <c r="C37" s="58"/>
      <c r="D37" s="62" t="n">
        <f aca="false">SUM(E37:M37)+O37+P37</f>
        <v>-2862</v>
      </c>
      <c r="E37" s="62" t="n">
        <f aca="false">FebYTD!E37-JAN2000!E37</f>
        <v>-1559</v>
      </c>
      <c r="F37" s="62" t="n">
        <f aca="false">FebYTD!F37-JAN2000!F37</f>
        <v>-1303</v>
      </c>
      <c r="G37" s="62" t="n">
        <f aca="false">FebYTD!G37-JAN2000!G37</f>
        <v>0</v>
      </c>
      <c r="H37" s="62" t="n">
        <f aca="false">FebYTD!H37-JAN2000!H37</f>
        <v>0</v>
      </c>
      <c r="I37" s="62" t="n">
        <f aca="false">FebYTD!I37-JAN2000!I37</f>
        <v>0</v>
      </c>
      <c r="J37" s="62" t="n">
        <f aca="false">FebYTD!J37-JAN2000!J37</f>
        <v>0</v>
      </c>
      <c r="K37" s="62" t="n">
        <f aca="false">FebYTD!K37-JAN2000!K37</f>
        <v>0</v>
      </c>
      <c r="L37" s="62" t="n">
        <f aca="false">FebYTD!L37-JAN2000!L37</f>
        <v>0</v>
      </c>
      <c r="M37" s="62" t="n">
        <f aca="false">FebYTD!M37-JAN2000!M37</f>
        <v>0</v>
      </c>
      <c r="N37" s="62" t="n">
        <f aca="false">M37+L37</f>
        <v>0</v>
      </c>
      <c r="O37" s="62" t="n">
        <f aca="false">FebYTD!O37-JAN2000!O37</f>
        <v>0</v>
      </c>
      <c r="P37" s="62" t="n">
        <f aca="false">FebYTD!P37-JAN2000!P37</f>
        <v>0</v>
      </c>
    </row>
    <row r="38" customFormat="false" ht="12.75" hidden="false" customHeight="true" outlineLevel="4" collapsed="false">
      <c r="A38" s="57" t="s">
        <v>105</v>
      </c>
      <c r="B38" s="58" t="n">
        <f aca="false">D38+R38</f>
        <v>-3508</v>
      </c>
      <c r="C38" s="58"/>
      <c r="D38" s="62" t="n">
        <f aca="false">SUM(E38:M38)+O38+P38</f>
        <v>-3508</v>
      </c>
      <c r="E38" s="62" t="n">
        <f aca="false">FebYTD!E38-JAN2000!E38</f>
        <v>-4034</v>
      </c>
      <c r="F38" s="62" t="n">
        <f aca="false">FebYTD!F38-JAN2000!F38</f>
        <v>526</v>
      </c>
      <c r="G38" s="62" t="n">
        <f aca="false">FebYTD!G38-JAN2000!G38</f>
        <v>0</v>
      </c>
      <c r="H38" s="62" t="n">
        <f aca="false">FebYTD!H38-JAN2000!H38</f>
        <v>0</v>
      </c>
      <c r="I38" s="62" t="n">
        <f aca="false">FebYTD!I38-JAN2000!I38</f>
        <v>0</v>
      </c>
      <c r="J38" s="62" t="n">
        <f aca="false">FebYTD!J38-JAN2000!J38</f>
        <v>0</v>
      </c>
      <c r="K38" s="62" t="n">
        <f aca="false">FebYTD!K38-JAN2000!K38</f>
        <v>0</v>
      </c>
      <c r="L38" s="62" t="n">
        <f aca="false">FebYTD!L38-JAN2000!L38</f>
        <v>0</v>
      </c>
      <c r="M38" s="62" t="n">
        <f aca="false">FebYTD!M38-JAN2000!M38</f>
        <v>0</v>
      </c>
      <c r="N38" s="62" t="n">
        <f aca="false">M38+L38</f>
        <v>0</v>
      </c>
      <c r="O38" s="62" t="n">
        <f aca="false">FebYTD!O38-JAN2000!O38</f>
        <v>0</v>
      </c>
      <c r="P38" s="62" t="n">
        <f aca="false">FebYTD!P38-JAN2000!P38</f>
        <v>0</v>
      </c>
    </row>
    <row r="39" customFormat="false" ht="12.75" hidden="false" customHeight="true" outlineLevel="4" collapsed="false">
      <c r="A39" s="57" t="s">
        <v>120</v>
      </c>
      <c r="B39" s="58" t="n">
        <f aca="false">D39+R39</f>
        <v>43400</v>
      </c>
      <c r="C39" s="58"/>
      <c r="D39" s="62" t="n">
        <f aca="false">SUM(E39:P39)</f>
        <v>0</v>
      </c>
      <c r="E39" s="62" t="n">
        <f aca="false">FebYTD!E39-JAN2000!E39</f>
        <v>0</v>
      </c>
      <c r="F39" s="62" t="n">
        <f aca="false">FebYTD!F39-JAN2000!F39</f>
        <v>0</v>
      </c>
      <c r="G39" s="62" t="n">
        <f aca="false">FebYTD!G39-JAN2000!G39</f>
        <v>0</v>
      </c>
      <c r="H39" s="62" t="n">
        <f aca="false">FebYTD!H39-JAN2000!H39</f>
        <v>0</v>
      </c>
      <c r="I39" s="62" t="n">
        <f aca="false">FebYTD!I39-JAN2000!I39</f>
        <v>0</v>
      </c>
      <c r="J39" s="62" t="n">
        <f aca="false">FebYTD!J39-JAN2000!J39</f>
        <v>0</v>
      </c>
      <c r="K39" s="62" t="n">
        <f aca="false">FebYTD!K39-JAN2000!K39</f>
        <v>0</v>
      </c>
      <c r="L39" s="62" t="n">
        <f aca="false">FebYTD!L39-JAN2000!L39</f>
        <v>0</v>
      </c>
      <c r="M39" s="62" t="n">
        <f aca="false">FebYTD!M39-JAN2000!M39</f>
        <v>0</v>
      </c>
      <c r="N39" s="62" t="n">
        <f aca="false">M39+L39</f>
        <v>0</v>
      </c>
      <c r="O39" s="62" t="n">
        <f aca="false">FebYTD!O39-JAN2000!O39</f>
        <v>0</v>
      </c>
      <c r="P39" s="62" t="n">
        <f aca="false">FebYTD!P39-JAN2000!P39</f>
        <v>0</v>
      </c>
      <c r="R39" s="40" t="n">
        <f aca="false">[21]FEB_MO!$H$42</f>
        <v>43400</v>
      </c>
    </row>
    <row r="40" customFormat="false" ht="12.75" hidden="false" customHeight="true" outlineLevel="4" collapsed="false">
      <c r="A40" s="57" t="s">
        <v>121</v>
      </c>
      <c r="B40" s="58" t="n">
        <f aca="false">D40+R40</f>
        <v>315</v>
      </c>
      <c r="C40" s="58"/>
      <c r="D40" s="62"/>
      <c r="E40" s="62" t="n">
        <f aca="false">FebYTD!E40-JAN2000!E40</f>
        <v>0</v>
      </c>
      <c r="F40" s="62" t="n">
        <f aca="false">FebYTD!F40-JAN2000!F40</f>
        <v>0</v>
      </c>
      <c r="G40" s="62" t="n">
        <f aca="false">FebYTD!G40-JAN2000!G40</f>
        <v>0</v>
      </c>
      <c r="H40" s="62" t="n">
        <f aca="false">FebYTD!H40-JAN2000!H40</f>
        <v>0</v>
      </c>
      <c r="I40" s="62" t="n">
        <f aca="false">FebYTD!I40-JAN2000!I40</f>
        <v>0</v>
      </c>
      <c r="J40" s="62" t="n">
        <f aca="false">FebYTD!J40-JAN2000!J40</f>
        <v>0</v>
      </c>
      <c r="K40" s="62" t="n">
        <f aca="false">FebYTD!K40-JAN2000!K40</f>
        <v>0</v>
      </c>
      <c r="L40" s="62" t="n">
        <f aca="false">FebYTD!L40-JAN2000!L40</f>
        <v>0</v>
      </c>
      <c r="M40" s="62" t="n">
        <f aca="false">FebYTD!M40-JAN2000!M40</f>
        <v>0</v>
      </c>
      <c r="N40" s="62" t="n">
        <f aca="false">M40+L40</f>
        <v>0</v>
      </c>
      <c r="O40" s="62" t="n">
        <f aca="false">FebYTD!O40-JAN2000!O40</f>
        <v>0</v>
      </c>
      <c r="P40" s="62" t="n">
        <f aca="false">FebYTD!P40-JAN2000!P40</f>
        <v>0</v>
      </c>
      <c r="R40" s="40" t="n">
        <f aca="false">[21]FEB_MO!$H$43</f>
        <v>315</v>
      </c>
    </row>
    <row r="41" customFormat="false" ht="12.75" hidden="false" customHeight="true" outlineLevel="4" collapsed="false">
      <c r="A41" s="57" t="s">
        <v>76</v>
      </c>
      <c r="B41" s="58" t="n">
        <f aca="false">D41+R41</f>
        <v>0</v>
      </c>
      <c r="C41" s="58"/>
      <c r="D41" s="62" t="n">
        <f aca="false">SUM(E41:P41)</f>
        <v>0</v>
      </c>
      <c r="E41" s="62" t="n">
        <f aca="false">FebYTD!E41-JAN2000!E41</f>
        <v>0</v>
      </c>
      <c r="F41" s="62" t="n">
        <f aca="false">FebYTD!F41-JAN2000!F41</f>
        <v>0</v>
      </c>
      <c r="G41" s="62" t="n">
        <f aca="false">FebYTD!G41-JAN2000!G41</f>
        <v>0</v>
      </c>
      <c r="H41" s="62" t="n">
        <f aca="false">FebYTD!H41-JAN2000!H41</f>
        <v>0</v>
      </c>
      <c r="I41" s="62" t="n">
        <f aca="false">FebYTD!I41-JAN2000!I41</f>
        <v>0</v>
      </c>
      <c r="J41" s="62" t="n">
        <f aca="false">FebYTD!J41-JAN2000!J41</f>
        <v>0</v>
      </c>
      <c r="K41" s="62" t="n">
        <f aca="false">FebYTD!K41-JAN2000!K41</f>
        <v>0</v>
      </c>
      <c r="L41" s="62" t="n">
        <f aca="false">FebYTD!L41-JAN2000!L41</f>
        <v>0</v>
      </c>
      <c r="M41" s="62" t="n">
        <f aca="false">FebYTD!M41-JAN2000!M41</f>
        <v>0</v>
      </c>
      <c r="N41" s="62" t="n">
        <f aca="false">M41+L41</f>
        <v>0</v>
      </c>
      <c r="O41" s="62" t="n">
        <f aca="false">FebYTD!O41-JAN2000!O41</f>
        <v>0</v>
      </c>
      <c r="P41" s="62" t="n">
        <f aca="false">FebYTD!P41-JAN2000!P41</f>
        <v>0</v>
      </c>
    </row>
    <row r="42" customFormat="false" ht="12.75" hidden="false" customHeight="true" outlineLevel="4" collapsed="false">
      <c r="A42" s="57" t="s">
        <v>77</v>
      </c>
      <c r="B42" s="63" t="n">
        <f aca="false">D42+R42</f>
        <v>0</v>
      </c>
      <c r="C42" s="58"/>
      <c r="D42" s="64" t="n">
        <f aca="false">SUM(E42:M42)+O42+P42</f>
        <v>0</v>
      </c>
      <c r="E42" s="64" t="n">
        <f aca="false">FebYTD!E42-JAN2000!E42</f>
        <v>0</v>
      </c>
      <c r="F42" s="64" t="n">
        <f aca="false">FebYTD!F42-JAN2000!F42</f>
        <v>0</v>
      </c>
      <c r="G42" s="64" t="n">
        <f aca="false">FebYTD!G42-JAN2000!G42</f>
        <v>0</v>
      </c>
      <c r="H42" s="64" t="n">
        <f aca="false">FebYTD!H42-JAN2000!H42</f>
        <v>0</v>
      </c>
      <c r="I42" s="64" t="n">
        <f aca="false">FebYTD!I42-JAN2000!I42</f>
        <v>0</v>
      </c>
      <c r="J42" s="64" t="n">
        <f aca="false">FebYTD!J42-JAN2000!J42</f>
        <v>0</v>
      </c>
      <c r="K42" s="64" t="n">
        <f aca="false">FebYTD!K42-JAN2000!K42</f>
        <v>0</v>
      </c>
      <c r="L42" s="64" t="n">
        <f aca="false">FebYTD!L42-JAN2000!L42</f>
        <v>0</v>
      </c>
      <c r="M42" s="64" t="n">
        <f aca="false">FebYTD!M42-JAN2000!M42</f>
        <v>0</v>
      </c>
      <c r="N42" s="64" t="n">
        <f aca="false">M42+L42</f>
        <v>0</v>
      </c>
      <c r="O42" s="64" t="n">
        <f aca="false">FebYTD!O42-JAN2000!O42</f>
        <v>0</v>
      </c>
      <c r="P42" s="64" t="n">
        <f aca="false">FebYTD!P42-JAN2000!P42</f>
        <v>0</v>
      </c>
      <c r="R42" s="50"/>
    </row>
    <row r="43" customFormat="false" ht="12.75" hidden="false" customHeight="true" outlineLevel="3" collapsed="false">
      <c r="A43" s="57" t="s">
        <v>78</v>
      </c>
      <c r="B43" s="70" t="n">
        <f aca="false">SUM(B36:B42)</f>
        <v>37406</v>
      </c>
      <c r="C43" s="71" t="n">
        <f aca="false">SUM(C36:C42)</f>
        <v>0</v>
      </c>
      <c r="D43" s="70" t="n">
        <f aca="false">SUM(D36:D42)</f>
        <v>-6309</v>
      </c>
      <c r="E43" s="70" t="n">
        <f aca="false">SUM(E36:E42)</f>
        <v>-5532</v>
      </c>
      <c r="F43" s="70" t="n">
        <f aca="false">SUM(F36:F42)</f>
        <v>-777</v>
      </c>
      <c r="G43" s="70" t="n">
        <f aca="false">SUM(G36:G42)</f>
        <v>0</v>
      </c>
      <c r="H43" s="70" t="n">
        <f aca="false">SUM(H36:H42)</f>
        <v>0</v>
      </c>
      <c r="I43" s="70" t="n">
        <f aca="false">SUM(I36:I42)</f>
        <v>0</v>
      </c>
      <c r="J43" s="70" t="n">
        <f aca="false">SUM(J36:J42)</f>
        <v>0</v>
      </c>
      <c r="K43" s="70" t="n">
        <f aca="false">SUM(K36:K42)</f>
        <v>0</v>
      </c>
      <c r="L43" s="70" t="n">
        <f aca="false">SUM(L36:L42)</f>
        <v>0</v>
      </c>
      <c r="M43" s="70" t="n">
        <f aca="false">SUM(M36:M42)</f>
        <v>0</v>
      </c>
      <c r="N43" s="70" t="n">
        <f aca="false">SUM(N36:N42)</f>
        <v>0</v>
      </c>
      <c r="O43" s="70" t="n">
        <f aca="false">SUM(O36:O42)</f>
        <v>0</v>
      </c>
      <c r="P43" s="70" t="n">
        <f aca="false">SUM(P36:P42)</f>
        <v>0</v>
      </c>
      <c r="R43" s="66" t="n">
        <f aca="false">SUM(R36:R42)</f>
        <v>43715</v>
      </c>
    </row>
    <row r="44" customFormat="false" ht="12.75" hidden="false" customHeight="true" outlineLevel="3" collapsed="false">
      <c r="B44" s="58"/>
      <c r="C44" s="58"/>
    </row>
    <row r="45" customFormat="false" ht="12.75" hidden="false" customHeight="true" outlineLevel="3" collapsed="false">
      <c r="A45" s="61" t="s">
        <v>79</v>
      </c>
      <c r="B45" s="58"/>
      <c r="C45" s="58"/>
    </row>
    <row r="46" customFormat="false" ht="12.75" hidden="false" customHeight="true" outlineLevel="4" collapsed="false">
      <c r="A46" s="57" t="s">
        <v>80</v>
      </c>
      <c r="B46" s="58" t="n">
        <f aca="false">D46+R46</f>
        <v>0</v>
      </c>
      <c r="C46" s="58"/>
      <c r="D46" s="62" t="n">
        <f aca="false">SUM(E46:P46)</f>
        <v>0</v>
      </c>
      <c r="E46" s="62" t="n">
        <f aca="false">FebYTD!E46-JAN2000!E46</f>
        <v>0</v>
      </c>
      <c r="F46" s="62" t="n">
        <f aca="false">FebYTD!F46-JAN2000!F46</f>
        <v>0</v>
      </c>
      <c r="G46" s="62" t="n">
        <f aca="false">FebYTD!G46-JAN2000!G46</f>
        <v>0</v>
      </c>
      <c r="H46" s="62" t="n">
        <f aca="false">FebYTD!H46-JAN2000!H46</f>
        <v>0</v>
      </c>
      <c r="I46" s="62" t="n">
        <f aca="false">FebYTD!I46-JAN2000!I46</f>
        <v>0</v>
      </c>
      <c r="J46" s="62" t="n">
        <f aca="false">FebYTD!J46-JAN2000!J46</f>
        <v>0</v>
      </c>
      <c r="K46" s="62" t="n">
        <f aca="false">FebYTD!K46-JAN2000!K46</f>
        <v>0</v>
      </c>
      <c r="L46" s="62" t="n">
        <f aca="false">FebYTD!L46-JAN2000!L46</f>
        <v>0</v>
      </c>
      <c r="M46" s="62" t="n">
        <f aca="false">FebYTD!M46-JAN2000!M46</f>
        <v>0</v>
      </c>
      <c r="N46" s="62"/>
      <c r="O46" s="62" t="n">
        <f aca="false">FebYTD!O46-JAN2000!O46</f>
        <v>0</v>
      </c>
      <c r="P46" s="62" t="n">
        <f aca="false">FebYTD!P46-JAN2000!P46</f>
        <v>0</v>
      </c>
    </row>
    <row r="47" customFormat="false" ht="12.75" hidden="false" customHeight="true" outlineLevel="4" collapsed="false">
      <c r="A47" s="57" t="s">
        <v>81</v>
      </c>
      <c r="B47" s="58" t="n">
        <f aca="false">D47+R47</f>
        <v>-7</v>
      </c>
      <c r="C47" s="58"/>
      <c r="D47" s="62" t="n">
        <f aca="false">SUM(E47:M47)+O47+P47</f>
        <v>-7</v>
      </c>
      <c r="E47" s="62" t="n">
        <f aca="false">FebYTD!E47-JAN2000!E47</f>
        <v>-7</v>
      </c>
      <c r="F47" s="62" t="n">
        <f aca="false">FebYTD!F47-JAN2000!F47</f>
        <v>0</v>
      </c>
      <c r="G47" s="62" t="n">
        <f aca="false">FebYTD!G47-JAN2000!G47</f>
        <v>0</v>
      </c>
      <c r="H47" s="62" t="n">
        <f aca="false">FebYTD!H47-JAN2000!H47</f>
        <v>0</v>
      </c>
      <c r="I47" s="62" t="n">
        <f aca="false">FebYTD!I47-JAN2000!I47</f>
        <v>0</v>
      </c>
      <c r="J47" s="62" t="n">
        <f aca="false">FebYTD!J47-JAN2000!J47</f>
        <v>0</v>
      </c>
      <c r="K47" s="62" t="n">
        <f aca="false">FebYTD!K47-JAN2000!K47</f>
        <v>0</v>
      </c>
      <c r="L47" s="62" t="n">
        <f aca="false">FebYTD!L47-JAN2000!L47</f>
        <v>0</v>
      </c>
      <c r="M47" s="62" t="n">
        <f aca="false">FebYTD!M47-JAN2000!M47</f>
        <v>0</v>
      </c>
      <c r="N47" s="62"/>
      <c r="O47" s="62" t="n">
        <f aca="false">FebYTD!O47-JAN2000!O47</f>
        <v>0</v>
      </c>
      <c r="P47" s="62" t="n">
        <f aca="false">FebYTD!P47-JAN2000!P47</f>
        <v>0</v>
      </c>
    </row>
    <row r="48" customFormat="false" ht="12.75" hidden="false" customHeight="true" outlineLevel="4" collapsed="false">
      <c r="A48" s="57" t="s">
        <v>83</v>
      </c>
      <c r="B48" s="58" t="n">
        <f aca="false">D48+R48</f>
        <v>0</v>
      </c>
      <c r="C48" s="58"/>
      <c r="D48" s="62" t="n">
        <f aca="false">SUM(E48:P48)</f>
        <v>0</v>
      </c>
      <c r="E48" s="62" t="n">
        <f aca="false">FebYTD!E48-JAN2000!E48</f>
        <v>0</v>
      </c>
      <c r="F48" s="62" t="n">
        <f aca="false">FebYTD!F48-JAN2000!F48</f>
        <v>0</v>
      </c>
      <c r="G48" s="62" t="n">
        <f aca="false">FebYTD!G48-JAN2000!G48</f>
        <v>0</v>
      </c>
      <c r="H48" s="62" t="n">
        <f aca="false">FebYTD!H48-JAN2000!H48</f>
        <v>0</v>
      </c>
      <c r="I48" s="62" t="n">
        <f aca="false">FebYTD!I48-JAN2000!I48</f>
        <v>0</v>
      </c>
      <c r="J48" s="62" t="n">
        <f aca="false">FebYTD!J48-JAN2000!J48</f>
        <v>0</v>
      </c>
      <c r="K48" s="62" t="n">
        <f aca="false">FebYTD!K48-JAN2000!K48</f>
        <v>0</v>
      </c>
      <c r="L48" s="62" t="n">
        <f aca="false">FebYTD!L48-JAN2000!L48</f>
        <v>0</v>
      </c>
      <c r="M48" s="62" t="n">
        <f aca="false">FebYTD!M48-JAN2000!M48</f>
        <v>0</v>
      </c>
      <c r="N48" s="62"/>
      <c r="O48" s="62" t="n">
        <f aca="false">FebYTD!O48-JAN2000!O48</f>
        <v>0</v>
      </c>
      <c r="P48" s="62" t="n">
        <f aca="false">FebYTD!P48-JAN2000!P48</f>
        <v>0</v>
      </c>
    </row>
    <row r="49" customFormat="false" ht="12.75" hidden="false" customHeight="true" outlineLevel="4" collapsed="false">
      <c r="A49" s="57" t="s">
        <v>84</v>
      </c>
      <c r="B49" s="58" t="n">
        <f aca="false">D49+R49</f>
        <v>0</v>
      </c>
      <c r="C49" s="58"/>
      <c r="D49" s="62" t="n">
        <f aca="false">SUM(E49:M49)+O49+P49</f>
        <v>0</v>
      </c>
      <c r="E49" s="62" t="n">
        <f aca="false">FebYTD!E49-JAN2000!E49</f>
        <v>0</v>
      </c>
      <c r="F49" s="62" t="n">
        <f aca="false">FebYTD!F49-JAN2000!F49</f>
        <v>0</v>
      </c>
      <c r="G49" s="62" t="n">
        <f aca="false">FebYTD!G49-JAN2000!G49</f>
        <v>0</v>
      </c>
      <c r="H49" s="62" t="n">
        <f aca="false">FebYTD!H49-JAN2000!H49</f>
        <v>0</v>
      </c>
      <c r="I49" s="62" t="n">
        <f aca="false">FebYTD!I49-JAN2000!I49</f>
        <v>0</v>
      </c>
      <c r="J49" s="62" t="n">
        <f aca="false">FebYTD!J49-JAN2000!J49</f>
        <v>0</v>
      </c>
      <c r="K49" s="62" t="n">
        <f aca="false">FebYTD!K49-JAN2000!K49</f>
        <v>0</v>
      </c>
      <c r="L49" s="62" t="n">
        <f aca="false">FebYTD!L49-JAN2000!L49</f>
        <v>0</v>
      </c>
      <c r="M49" s="62" t="n">
        <f aca="false">FebYTD!M49-JAN2000!M49</f>
        <v>0</v>
      </c>
      <c r="N49" s="62"/>
      <c r="O49" s="62" t="n">
        <f aca="false">FebYTD!O49-JAN2000!O49</f>
        <v>0</v>
      </c>
      <c r="P49" s="62" t="n">
        <f aca="false">FebYTD!P49-JAN2000!P49</f>
        <v>0</v>
      </c>
    </row>
    <row r="50" customFormat="false" ht="12.75" hidden="false" customHeight="true" outlineLevel="4" collapsed="false">
      <c r="A50" s="57" t="s">
        <v>107</v>
      </c>
      <c r="B50" s="58" t="n">
        <f aca="false">D50+R50</f>
        <v>0</v>
      </c>
      <c r="C50" s="58"/>
      <c r="D50" s="62" t="n">
        <f aca="false">SUM(E50:P50)</f>
        <v>0</v>
      </c>
      <c r="E50" s="62" t="n">
        <f aca="false">FebYTD!E50-JAN2000!E50</f>
        <v>0</v>
      </c>
      <c r="F50" s="62" t="n">
        <f aca="false">FebYTD!F50-JAN2000!F50</f>
        <v>0</v>
      </c>
      <c r="G50" s="62" t="n">
        <f aca="false">FebYTD!G50-JAN2000!G50</f>
        <v>0</v>
      </c>
      <c r="H50" s="62" t="n">
        <f aca="false">FebYTD!H50-JAN2000!H50</f>
        <v>0</v>
      </c>
      <c r="I50" s="62" t="n">
        <f aca="false">FebYTD!I50-JAN2000!I50</f>
        <v>0</v>
      </c>
      <c r="J50" s="62" t="n">
        <f aca="false">FebYTD!J50-JAN2000!J50</f>
        <v>0</v>
      </c>
      <c r="K50" s="62" t="n">
        <f aca="false">FebYTD!K50-JAN2000!K50</f>
        <v>0</v>
      </c>
      <c r="L50" s="62" t="n">
        <f aca="false">FebYTD!L50-JAN2000!L50</f>
        <v>0</v>
      </c>
      <c r="M50" s="62" t="n">
        <f aca="false">FebYTD!M50-JAN2000!M50</f>
        <v>0</v>
      </c>
      <c r="N50" s="75"/>
      <c r="O50" s="62" t="n">
        <f aca="false">FebYTD!O50-JAN2000!O50</f>
        <v>0</v>
      </c>
      <c r="P50" s="62" t="n">
        <f aca="false">FebYTD!P50-JAN2000!P50</f>
        <v>0</v>
      </c>
      <c r="R50" s="50"/>
    </row>
    <row r="51" customFormat="false" ht="12.75" hidden="false" customHeight="true" outlineLevel="3" collapsed="false">
      <c r="A51" s="57" t="s">
        <v>86</v>
      </c>
      <c r="B51" s="72" t="n">
        <f aca="false">SUM(B46:B50)</f>
        <v>-7</v>
      </c>
      <c r="C51" s="58"/>
      <c r="D51" s="72" t="n">
        <f aca="false">SUM(D46:D50)</f>
        <v>-7</v>
      </c>
      <c r="E51" s="72" t="n">
        <f aca="false">SUM(E46:E50)</f>
        <v>-7</v>
      </c>
      <c r="F51" s="72" t="n">
        <f aca="false">SUM(F46:F50)</f>
        <v>0</v>
      </c>
      <c r="G51" s="72" t="n">
        <f aca="false">SUM(G46:G50)</f>
        <v>0</v>
      </c>
      <c r="H51" s="72" t="n">
        <f aca="false">SUM(H46:H50)</f>
        <v>0</v>
      </c>
      <c r="I51" s="72" t="n">
        <f aca="false">SUM(I46:I50)</f>
        <v>0</v>
      </c>
      <c r="J51" s="72" t="n">
        <f aca="false">SUM(J46:J50)</f>
        <v>0</v>
      </c>
      <c r="K51" s="72" t="n">
        <f aca="false">SUM(K46:K50)</f>
        <v>0</v>
      </c>
      <c r="L51" s="72" t="n">
        <f aca="false">SUM(L46:L50)</f>
        <v>0</v>
      </c>
      <c r="M51" s="72" t="n">
        <f aca="false">SUM(M46:M50)</f>
        <v>0</v>
      </c>
      <c r="N51" s="72" t="n">
        <f aca="false">SUM(N46:N50)</f>
        <v>0</v>
      </c>
      <c r="O51" s="72" t="n">
        <f aca="false">SUM(O46:O50)</f>
        <v>0</v>
      </c>
      <c r="P51" s="72" t="n">
        <f aca="false">SUM(P46:P50)</f>
        <v>0</v>
      </c>
      <c r="R51" s="72" t="n">
        <f aca="false">SUM(R46:R50)</f>
        <v>0</v>
      </c>
    </row>
    <row r="52" customFormat="false" ht="12.75" hidden="false" customHeight="true" outlineLevel="3" collapsed="false">
      <c r="A52" s="57"/>
      <c r="B52" s="71"/>
      <c r="C52" s="58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R52" s="71"/>
    </row>
    <row r="53" customFormat="false" ht="12.75" hidden="false" customHeight="true" outlineLevel="2" collapsed="false">
      <c r="A53" s="57" t="s">
        <v>87</v>
      </c>
      <c r="B53" s="71" t="n">
        <f aca="false">B33+B43+B51</f>
        <v>49760.16</v>
      </c>
      <c r="C53" s="58"/>
      <c r="D53" s="71" t="n">
        <f aca="false">D33+D43+D51</f>
        <v>3491.02599999997</v>
      </c>
      <c r="E53" s="71" t="n">
        <f aca="false">E33+E43+E51</f>
        <v>26212.591</v>
      </c>
      <c r="F53" s="71" t="n">
        <f aca="false">F33+F43+F51</f>
        <v>5535.109</v>
      </c>
      <c r="G53" s="71" t="n">
        <f aca="false">G33+G43+G51</f>
        <v>0</v>
      </c>
      <c r="H53" s="71" t="n">
        <f aca="false">H33+H43+H51</f>
        <v>-435.935</v>
      </c>
      <c r="I53" s="71" t="n">
        <f aca="false">I33+I43+I51</f>
        <v>0.00100000000000078</v>
      </c>
      <c r="J53" s="71" t="n">
        <f aca="false">J33+J43+J51</f>
        <v>-1076.981</v>
      </c>
      <c r="K53" s="71" t="n">
        <f aca="false">K33+K43+K51</f>
        <v>-69.0110000000001</v>
      </c>
      <c r="L53" s="71" t="n">
        <f aca="false">L33+L43+L51</f>
        <v>21.266</v>
      </c>
      <c r="M53" s="71" t="n">
        <f aca="false">M33+M43+M51</f>
        <v>-16745</v>
      </c>
      <c r="N53" s="71" t="n">
        <f aca="false">M53+L53</f>
        <v>-16723.734</v>
      </c>
      <c r="O53" s="71" t="n">
        <f aca="false">O33+O43+O51</f>
        <v>-9892.014</v>
      </c>
      <c r="P53" s="71" t="n">
        <f aca="false">P33+P43+P51</f>
        <v>-59</v>
      </c>
      <c r="R53" s="71" t="n">
        <f aca="false">R33+R43+R51</f>
        <v>46269.134</v>
      </c>
    </row>
    <row r="54" customFormat="false" ht="12.75" hidden="false" customHeight="true" outlineLevel="2" collapsed="false">
      <c r="A54" s="57"/>
      <c r="B54" s="71"/>
      <c r="C54" s="58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R54" s="71"/>
    </row>
    <row r="55" customFormat="false" ht="12.75" hidden="false" customHeight="true" outlineLevel="2" collapsed="false">
      <c r="A55" s="57" t="s">
        <v>88</v>
      </c>
      <c r="B55" s="63" t="n">
        <f aca="false">D55+R55</f>
        <v>289</v>
      </c>
      <c r="C55" s="58"/>
      <c r="D55" s="64" t="n">
        <f aca="false">SUM(E55:M55)+O55+P55</f>
        <v>40</v>
      </c>
      <c r="E55" s="77" t="n">
        <v>0</v>
      </c>
      <c r="F55" s="77" t="n">
        <v>0</v>
      </c>
      <c r="G55" s="77" t="n">
        <v>0</v>
      </c>
      <c r="H55" s="77" t="n">
        <v>0</v>
      </c>
      <c r="I55" s="77" t="n">
        <v>0</v>
      </c>
      <c r="J55" s="77" t="n">
        <v>0</v>
      </c>
      <c r="K55" s="77" t="n">
        <v>0</v>
      </c>
      <c r="L55" s="77" t="n">
        <v>0</v>
      </c>
      <c r="M55" s="77" t="n">
        <v>0</v>
      </c>
      <c r="N55" s="77"/>
      <c r="O55" s="50"/>
      <c r="P55" s="77" t="n">
        <f aca="false">FebYTD!P55-JAN2000!P55</f>
        <v>40</v>
      </c>
      <c r="R55" s="50" t="n">
        <f aca="false">[21]FEB_MO!$H$56</f>
        <v>249</v>
      </c>
    </row>
    <row r="56" customFormat="false" ht="12.75" hidden="false" customHeight="true" outlineLevel="2" collapsed="false">
      <c r="A56" s="57"/>
      <c r="B56" s="58"/>
      <c r="C56" s="58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R56" s="42"/>
    </row>
    <row r="57" customFormat="false" ht="12.75" hidden="false" customHeight="true" outlineLevel="1" collapsed="false">
      <c r="A57" s="57" t="s">
        <v>89</v>
      </c>
      <c r="B57" s="74" t="n">
        <f aca="false">B53-B55</f>
        <v>49471.16</v>
      </c>
      <c r="C57" s="58"/>
      <c r="D57" s="74" t="n">
        <f aca="false">D53-D55</f>
        <v>3451.02599999997</v>
      </c>
      <c r="E57" s="74" t="n">
        <f aca="false">E53-E55</f>
        <v>26212.591</v>
      </c>
      <c r="F57" s="74" t="n">
        <f aca="false">F53-F55</f>
        <v>5535.109</v>
      </c>
      <c r="G57" s="74" t="n">
        <f aca="false">G53-G55</f>
        <v>0</v>
      </c>
      <c r="H57" s="74" t="n">
        <f aca="false">H53-H55</f>
        <v>-435.935</v>
      </c>
      <c r="I57" s="74" t="n">
        <f aca="false">I53-I55</f>
        <v>0.00100000000000078</v>
      </c>
      <c r="J57" s="74" t="n">
        <f aca="false">J53-J55</f>
        <v>-1076.981</v>
      </c>
      <c r="K57" s="74" t="n">
        <f aca="false">K53-K55</f>
        <v>-69.0110000000001</v>
      </c>
      <c r="L57" s="74" t="n">
        <f aca="false">L53-L55</f>
        <v>21.266</v>
      </c>
      <c r="M57" s="74" t="n">
        <f aca="false">M53-M55</f>
        <v>-16745</v>
      </c>
      <c r="N57" s="74" t="n">
        <f aca="false">M57+L57</f>
        <v>-16723.734</v>
      </c>
      <c r="O57" s="74" t="n">
        <f aca="false">O53-P55</f>
        <v>-9932.014</v>
      </c>
      <c r="P57" s="74" t="n">
        <f aca="false">P53-P55</f>
        <v>-99</v>
      </c>
      <c r="R57" s="74" t="n">
        <f aca="false">R53-R55</f>
        <v>46020.134</v>
      </c>
    </row>
    <row r="58" customFormat="false" ht="12.75" hidden="false" customHeight="true" outlineLevel="1" collapsed="false">
      <c r="B58" s="42"/>
      <c r="C58" s="42"/>
    </row>
    <row r="59" customFormat="false" ht="12.75" hidden="false" customHeight="true" outlineLevel="0" collapsed="false">
      <c r="A59" s="40" t="s">
        <v>90</v>
      </c>
      <c r="B59" s="64" t="n">
        <f aca="false">D59+R59</f>
        <v>-5</v>
      </c>
      <c r="C59" s="42"/>
      <c r="D59" s="64" t="n">
        <f aca="false">SUM(E59:P59)</f>
        <v>-5</v>
      </c>
      <c r="E59" s="64" t="n">
        <f aca="false">FebYTD!E59-JAN2000!E59</f>
        <v>-6</v>
      </c>
      <c r="F59" s="64" t="n">
        <f aca="false">FebYTD!F59-JAN2000!F59</f>
        <v>0</v>
      </c>
      <c r="G59" s="64" t="n">
        <f aca="false">FebYTD!G59-JAN2000!G59</f>
        <v>0</v>
      </c>
      <c r="H59" s="64" t="n">
        <f aca="false">FebYTD!H59-JAN2000!H59</f>
        <v>0</v>
      </c>
      <c r="I59" s="64" t="n">
        <f aca="false">FebYTD!I59-JAN2000!I59</f>
        <v>14</v>
      </c>
      <c r="J59" s="64" t="n">
        <f aca="false">FebYTD!J59-JAN2000!J59</f>
        <v>-191</v>
      </c>
      <c r="K59" s="64" t="n">
        <f aca="false">FebYTD!K59-JAN2000!K59</f>
        <v>178</v>
      </c>
      <c r="L59" s="64" t="n">
        <f aca="false">FebYTD!L59-JAN2000!L59</f>
        <v>0</v>
      </c>
      <c r="M59" s="64" t="n">
        <f aca="false">FebYTD!M59-JAN2000!M59</f>
        <v>0</v>
      </c>
      <c r="N59" s="77"/>
      <c r="O59" s="64" t="n">
        <f aca="false">FebYTD!O59-JAN2000!O59</f>
        <v>0</v>
      </c>
      <c r="P59" s="64" t="n">
        <f aca="false">FebYTD!P59-JAN2000!P59</f>
        <v>0</v>
      </c>
      <c r="R59" s="50"/>
    </row>
    <row r="60" customFormat="false" ht="12.75" hidden="false" customHeight="true" outlineLevel="0" collapsed="false">
      <c r="B60" s="42"/>
      <c r="C60" s="42"/>
    </row>
    <row r="61" customFormat="false" ht="12.75" hidden="false" customHeight="true" outlineLevel="0" collapsed="false">
      <c r="A61" s="40" t="s">
        <v>91</v>
      </c>
      <c r="B61" s="74" t="n">
        <f aca="false">B57+B59</f>
        <v>49466.16</v>
      </c>
      <c r="C61" s="42"/>
      <c r="D61" s="74" t="n">
        <f aca="false">D57+D59</f>
        <v>3446.02599999997</v>
      </c>
      <c r="E61" s="74" t="n">
        <f aca="false">E57+E59</f>
        <v>26206.591</v>
      </c>
      <c r="F61" s="74" t="n">
        <f aca="false">F57+F59</f>
        <v>5535.109</v>
      </c>
      <c r="G61" s="74" t="n">
        <f aca="false">G57+G59</f>
        <v>0</v>
      </c>
      <c r="H61" s="74" t="n">
        <f aca="false">H57+H59</f>
        <v>-435.935</v>
      </c>
      <c r="I61" s="74" t="n">
        <f aca="false">I57+I59</f>
        <v>14.001</v>
      </c>
      <c r="J61" s="74" t="n">
        <f aca="false">J57+J59</f>
        <v>-1267.981</v>
      </c>
      <c r="K61" s="74" t="n">
        <f aca="false">K57+K59</f>
        <v>108.989</v>
      </c>
      <c r="L61" s="74" t="n">
        <f aca="false">L57+L59</f>
        <v>21.266</v>
      </c>
      <c r="M61" s="74" t="n">
        <f aca="false">M57+M59</f>
        <v>-16745</v>
      </c>
      <c r="N61" s="74" t="n">
        <f aca="false">M61+L61</f>
        <v>-16723.734</v>
      </c>
      <c r="O61" s="74" t="n">
        <f aca="false">O57+O59</f>
        <v>-9932.014</v>
      </c>
      <c r="P61" s="74" t="n">
        <f aca="false">P57+P59</f>
        <v>-99</v>
      </c>
      <c r="R61" s="74" t="n">
        <f aca="false">R57+R59</f>
        <v>46020.134</v>
      </c>
    </row>
    <row r="62" customFormat="false" ht="12.75" hidden="false" customHeight="true" outlineLevel="0" collapsed="false">
      <c r="B62" s="42"/>
      <c r="C62" s="42"/>
    </row>
    <row r="63" customFormat="false" ht="12.75" hidden="false" customHeight="true" outlineLevel="0" collapsed="false">
      <c r="B63" s="42"/>
      <c r="C63" s="42"/>
      <c r="P63" s="40" t="n">
        <v>145</v>
      </c>
    </row>
    <row r="64" customFormat="false" ht="12.75" hidden="false" customHeight="true" outlineLevel="0" collapsed="false">
      <c r="P64" s="40" t="n">
        <f aca="false">P57-P63</f>
        <v>-244</v>
      </c>
    </row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64"/>
  <sheetViews>
    <sheetView showFormulas="false" showGridLines="true" showRowColHeaders="true" showZeros="true" rightToLeft="false" tabSelected="false" showOutlineSymbols="true" defaultGridColor="true" view="normal" topLeftCell="B34" colorId="64" zoomScale="100" zoomScaleNormal="100" zoomScalePageLayoutView="100" workbookViewId="0">
      <selection pane="topLeft" activeCell="P34" activeCellId="0" sqref="P34"/>
    </sheetView>
  </sheetViews>
  <sheetFormatPr defaultColWidth="8.9921875" defaultRowHeight="12.75" customHeight="true" zeroHeight="false" outlineLevelRow="4" outlineLevelCol="0"/>
  <cols>
    <col collapsed="false" customWidth="true" hidden="false" outlineLevel="0" max="1" min="1" style="40" width="67.99"/>
    <col collapsed="false" customWidth="true" hidden="false" outlineLevel="0" max="2" min="2" style="40" width="14.49"/>
    <col collapsed="false" customWidth="true" hidden="false" outlineLevel="0" max="3" min="3" style="40" width="1.82"/>
    <col collapsed="false" customWidth="true" hidden="false" outlineLevel="0" max="4" min="4" style="40" width="11.82"/>
    <col collapsed="false" customWidth="true" hidden="false" outlineLevel="0" max="5" min="5" style="40" width="10.65"/>
    <col collapsed="false" customWidth="true" hidden="false" outlineLevel="0" max="6" min="6" style="40" width="10.82"/>
    <col collapsed="false" customWidth="true" hidden="false" outlineLevel="0" max="7" min="7" style="40" width="12.82"/>
    <col collapsed="false" customWidth="true" hidden="false" outlineLevel="0" max="11" min="8" style="40" width="10.82"/>
    <col collapsed="false" customWidth="true" hidden="true" outlineLevel="0" max="13" min="12" style="40" width="10.82"/>
    <col collapsed="false" customWidth="true" hidden="false" outlineLevel="0" max="15" min="14" style="40" width="12.16"/>
    <col collapsed="false" customWidth="true" hidden="false" outlineLevel="0" max="16" min="16" style="40" width="10.82"/>
    <col collapsed="false" customWidth="true" hidden="false" outlineLevel="0" max="17" min="17" style="40" width="3.65"/>
    <col collapsed="false" customWidth="false" hidden="false" outlineLevel="0" max="257" min="18" style="40" width="8.99"/>
  </cols>
  <sheetData>
    <row r="1" customFormat="false" ht="12.75" hidden="false" customHeight="true" outlineLevel="0" collapsed="false">
      <c r="A1" s="41" t="s">
        <v>18</v>
      </c>
      <c r="B1" s="42"/>
      <c r="C1" s="42"/>
      <c r="D1" s="42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customFormat="false" ht="12.75" hidden="false" customHeight="true" outlineLevel="0" collapsed="false">
      <c r="A2" s="44" t="s">
        <v>19</v>
      </c>
      <c r="D2" s="45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customFormat="false" ht="12.75" hidden="false" customHeight="true" outlineLevel="0" collapsed="false">
      <c r="A3" s="47" t="s">
        <v>125</v>
      </c>
      <c r="B3" s="42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</row>
    <row r="4" customFormat="false" ht="12.75" hidden="false" customHeight="true" outlineLevel="0" collapsed="false">
      <c r="A4" s="42"/>
      <c r="B4" s="49" t="s">
        <v>97</v>
      </c>
      <c r="C4" s="50"/>
      <c r="D4" s="51"/>
      <c r="I4" s="52" t="s">
        <v>98</v>
      </c>
      <c r="J4" s="52" t="s">
        <v>28</v>
      </c>
      <c r="K4" s="52" t="s">
        <v>29</v>
      </c>
      <c r="L4" s="52" t="s">
        <v>30</v>
      </c>
      <c r="M4" s="52" t="s">
        <v>31</v>
      </c>
      <c r="N4" s="52" t="s">
        <v>30</v>
      </c>
      <c r="O4" s="52" t="s">
        <v>32</v>
      </c>
      <c r="R4" s="53" t="s">
        <v>21</v>
      </c>
    </row>
    <row r="5" customFormat="false" ht="12.75" hidden="false" customHeight="true" outlineLevel="0" collapsed="false">
      <c r="A5" s="54" t="s">
        <v>34</v>
      </c>
      <c r="B5" s="55" t="s">
        <v>100</v>
      </c>
      <c r="C5" s="52"/>
      <c r="D5" s="51" t="s">
        <v>35</v>
      </c>
      <c r="E5" s="51" t="s">
        <v>22</v>
      </c>
      <c r="F5" s="51" t="s">
        <v>23</v>
      </c>
      <c r="G5" s="51" t="s">
        <v>24</v>
      </c>
      <c r="H5" s="51" t="s">
        <v>25</v>
      </c>
      <c r="I5" s="51" t="n">
        <v>543</v>
      </c>
      <c r="J5" s="51" t="n">
        <v>584</v>
      </c>
      <c r="K5" s="51" t="n">
        <v>583</v>
      </c>
      <c r="L5" s="51" t="s">
        <v>36</v>
      </c>
      <c r="M5" s="51"/>
      <c r="N5" s="51" t="s">
        <v>37</v>
      </c>
      <c r="O5" s="51" t="s">
        <v>38</v>
      </c>
      <c r="P5" s="51" t="s">
        <v>33</v>
      </c>
      <c r="R5" s="56" t="s">
        <v>102</v>
      </c>
    </row>
    <row r="6" customFormat="false" ht="12.75" hidden="false" customHeight="true" outlineLevel="2" collapsed="false">
      <c r="A6" s="57"/>
      <c r="B6" s="58"/>
      <c r="C6" s="58"/>
      <c r="D6" s="59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</row>
    <row r="7" customFormat="false" ht="12.75" hidden="false" customHeight="true" outlineLevel="4" collapsed="false">
      <c r="A7" s="61" t="s">
        <v>39</v>
      </c>
      <c r="B7" s="58"/>
      <c r="C7" s="58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</row>
    <row r="8" customFormat="false" ht="12.75" hidden="false" customHeight="true" outlineLevel="4" collapsed="false">
      <c r="A8" s="57" t="s">
        <v>40</v>
      </c>
      <c r="B8" s="58" t="n">
        <f aca="false">D8+R8</f>
        <v>31837.036</v>
      </c>
      <c r="C8" s="58"/>
      <c r="D8" s="62" t="n">
        <f aca="false">SUM(E8:M8)+O8+P8</f>
        <v>31430.718</v>
      </c>
      <c r="E8" s="62" t="n">
        <f aca="false">[16]01YTD!J$65</f>
        <v>21637.741</v>
      </c>
      <c r="F8" s="62" t="n">
        <f aca="false">[16]01YTD!K$65</f>
        <v>5247.51</v>
      </c>
      <c r="G8" s="62" t="n">
        <f aca="false">[16]01YTD!L$65</f>
        <v>2532.381</v>
      </c>
      <c r="H8" s="62" t="n">
        <f aca="false">[16]01YTD!M$65</f>
        <v>439.359</v>
      </c>
      <c r="I8" s="62" t="n">
        <f aca="false">[16]01YTD!N$65</f>
        <v>0</v>
      </c>
      <c r="J8" s="62" t="n">
        <f aca="false">[16]01YTD!O$65</f>
        <v>177.444</v>
      </c>
      <c r="K8" s="62" t="n">
        <f aca="false">[16]01YTD!P$65</f>
        <v>21.729</v>
      </c>
      <c r="L8" s="62" t="n">
        <f aca="false">[16]01YTD!Q$65</f>
        <v>-0.199</v>
      </c>
      <c r="M8" s="62" t="n">
        <f aca="false">[16]01YTD!R$65</f>
        <v>0</v>
      </c>
      <c r="N8" s="62" t="n">
        <f aca="false">[16]01YTD!S$65</f>
        <v>0</v>
      </c>
      <c r="O8" s="62" t="n">
        <f aca="false">[16]01YTD!U$65</f>
        <v>1374.753</v>
      </c>
      <c r="P8" s="62" t="n">
        <f aca="false">[16]01YTD!V$65</f>
        <v>0</v>
      </c>
      <c r="R8" s="40" t="n">
        <f aca="false">[17]JAN_YTD!$H$8</f>
        <v>406.318</v>
      </c>
    </row>
    <row r="9" customFormat="false" ht="12.75" hidden="false" customHeight="true" outlineLevel="4" collapsed="false">
      <c r="A9" s="57" t="s">
        <v>41</v>
      </c>
      <c r="B9" s="63" t="n">
        <f aca="false">D9+R9</f>
        <v>2480.173</v>
      </c>
      <c r="C9" s="58"/>
      <c r="D9" s="64" t="n">
        <f aca="false">SUM(E9:M9)+O9+P9</f>
        <v>2480.173</v>
      </c>
      <c r="E9" s="64" t="n">
        <f aca="false">[16]01YTD!J$72*-1</f>
        <v>-1208.723</v>
      </c>
      <c r="F9" s="64" t="n">
        <f aca="false">[16]01YTD!K$72*-1</f>
        <v>150.659</v>
      </c>
      <c r="G9" s="64" t="n">
        <f aca="false">[16]01YTD!L$72*-1</f>
        <v>-0</v>
      </c>
      <c r="H9" s="64" t="n">
        <f aca="false">[16]01YTD!M$72*-1</f>
        <v>292.657</v>
      </c>
      <c r="I9" s="64" t="n">
        <f aca="false">[16]01YTD!N$72*-1</f>
        <v>-0</v>
      </c>
      <c r="J9" s="64" t="n">
        <f aca="false">[16]01YTD!O$72*-1</f>
        <v>27.117</v>
      </c>
      <c r="K9" s="64" t="n">
        <f aca="false">[16]01YTD!P$72*-1</f>
        <v>-0</v>
      </c>
      <c r="L9" s="64" t="n">
        <f aca="false">[16]01YTD!Q$72*-1</f>
        <v>-0</v>
      </c>
      <c r="M9" s="64" t="n">
        <f aca="false">[16]01YTD!R$72*-1</f>
        <v>-0</v>
      </c>
      <c r="N9" s="64" t="n">
        <f aca="false">[16]01YTD!S$72*-1</f>
        <v>-0</v>
      </c>
      <c r="O9" s="64" t="n">
        <f aca="false">[16]01YTD!U$72*-1</f>
        <v>3218.463</v>
      </c>
      <c r="P9" s="64" t="n">
        <f aca="false">[16]01YTD!V$72*-1</f>
        <v>-0</v>
      </c>
      <c r="R9" s="50"/>
    </row>
    <row r="10" customFormat="false" ht="12.75" hidden="false" customHeight="true" outlineLevel="4" collapsed="false">
      <c r="A10" s="57" t="s">
        <v>42</v>
      </c>
      <c r="B10" s="65" t="n">
        <f aca="false">B8+B9</f>
        <v>34317.209</v>
      </c>
      <c r="C10" s="58"/>
      <c r="D10" s="65" t="n">
        <f aca="false">D8+D9</f>
        <v>33910.891</v>
      </c>
      <c r="E10" s="65" t="n">
        <f aca="false">E8+E9</f>
        <v>20429.018</v>
      </c>
      <c r="F10" s="65" t="n">
        <f aca="false">F8+F9</f>
        <v>5398.169</v>
      </c>
      <c r="G10" s="65" t="n">
        <f aca="false">G8+G9</f>
        <v>2532.381</v>
      </c>
      <c r="H10" s="65" t="n">
        <f aca="false">H8+H9</f>
        <v>732.016</v>
      </c>
      <c r="I10" s="65" t="n">
        <f aca="false">I8+I9</f>
        <v>0</v>
      </c>
      <c r="J10" s="65" t="n">
        <f aca="false">J8+J9</f>
        <v>204.561</v>
      </c>
      <c r="K10" s="65" t="n">
        <f aca="false">K8+K9</f>
        <v>21.729</v>
      </c>
      <c r="L10" s="65" t="n">
        <f aca="false">L8+L9</f>
        <v>-0.199</v>
      </c>
      <c r="M10" s="65" t="n">
        <f aca="false">M8+M9</f>
        <v>0</v>
      </c>
      <c r="N10" s="65" t="n">
        <f aca="false">N8</f>
        <v>0</v>
      </c>
      <c r="O10" s="65" t="n">
        <f aca="false">O8+O9</f>
        <v>4593.216</v>
      </c>
      <c r="P10" s="65" t="n">
        <f aca="false">P8+P9</f>
        <v>0</v>
      </c>
      <c r="R10" s="65" t="n">
        <f aca="false">R8+R9</f>
        <v>406.318</v>
      </c>
    </row>
    <row r="11" customFormat="false" ht="12.75" hidden="false" customHeight="true" outlineLevel="4" collapsed="false">
      <c r="A11" s="57"/>
      <c r="B11" s="65"/>
      <c r="C11" s="58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R11" s="65"/>
    </row>
    <row r="12" customFormat="false" ht="12.75" hidden="false" customHeight="true" outlineLevel="4" collapsed="false">
      <c r="A12" s="57" t="s">
        <v>43</v>
      </c>
      <c r="B12" s="58" t="n">
        <f aca="false">D12+R12</f>
        <v>5415.871</v>
      </c>
      <c r="C12" s="58"/>
      <c r="D12" s="62" t="n">
        <f aca="false">SUM(E12:M12)+O12+P12</f>
        <v>5415.871</v>
      </c>
      <c r="E12" s="62" t="n">
        <f aca="false">[16]01YTD!J$36</f>
        <v>3812.694</v>
      </c>
      <c r="F12" s="62" t="n">
        <f aca="false">[16]01YTD!K$36</f>
        <v>1603.177</v>
      </c>
      <c r="G12" s="62" t="n">
        <f aca="false">[16]01YTD!L$36</f>
        <v>0</v>
      </c>
      <c r="H12" s="62" t="n">
        <f aca="false">[16]01YTD!M$36</f>
        <v>0</v>
      </c>
      <c r="I12" s="62" t="n">
        <f aca="false">[16]01YTD!N$36</f>
        <v>0</v>
      </c>
      <c r="J12" s="62" t="n">
        <f aca="false">[16]01YTD!O$36</f>
        <v>0</v>
      </c>
      <c r="K12" s="62" t="n">
        <f aca="false">[16]01YTD!P$36</f>
        <v>0</v>
      </c>
      <c r="L12" s="62" t="n">
        <f aca="false">[16]01YTD!Q$36</f>
        <v>0</v>
      </c>
      <c r="M12" s="62" t="n">
        <f aca="false">[16]01YTD!R$36</f>
        <v>0</v>
      </c>
      <c r="N12" s="62" t="n">
        <f aca="false">[16]01YTD!S$36</f>
        <v>0</v>
      </c>
      <c r="O12" s="62" t="n">
        <f aca="false">[16]01YTD!T$36</f>
        <v>0</v>
      </c>
      <c r="P12" s="62" t="n">
        <f aca="false">[16]01YTD!U$36</f>
        <v>0</v>
      </c>
      <c r="R12" s="40" t="n">
        <f aca="false">[17]JAN_YTD!$H$11</f>
        <v>0</v>
      </c>
    </row>
    <row r="13" customFormat="false" ht="12.75" hidden="false" customHeight="true" outlineLevel="4" collapsed="false">
      <c r="A13" s="57" t="s">
        <v>45</v>
      </c>
      <c r="B13" s="58" t="n">
        <f aca="false">D13+R13</f>
        <v>1953.926</v>
      </c>
      <c r="C13" s="58"/>
      <c r="D13" s="62" t="n">
        <f aca="false">SUM(E13:M13)+O13+P13</f>
        <v>1948.863</v>
      </c>
      <c r="E13" s="62" t="n">
        <f aca="false">[16]01YTD!J$62</f>
        <v>1670.937</v>
      </c>
      <c r="F13" s="62" t="n">
        <f aca="false">[16]01YTD!K$62</f>
        <v>238.419</v>
      </c>
      <c r="G13" s="62" t="n">
        <f aca="false">[16]01YTD!L$62</f>
        <v>0</v>
      </c>
      <c r="H13" s="62" t="n">
        <f aca="false">[16]01YTD!M$62</f>
        <v>39.507</v>
      </c>
      <c r="I13" s="62" t="n">
        <f aca="false">[16]01YTD!N$62</f>
        <v>0</v>
      </c>
      <c r="J13" s="62" t="n">
        <f aca="false">[16]01YTD!O$62</f>
        <v>0</v>
      </c>
      <c r="K13" s="62" t="n">
        <f aca="false">[16]01YTD!P$62</f>
        <v>0</v>
      </c>
      <c r="L13" s="62" t="n">
        <f aca="false">[16]01YTD!Q$62</f>
        <v>0</v>
      </c>
      <c r="M13" s="62" t="n">
        <f aca="false">[16]01YTD!R$62</f>
        <v>0</v>
      </c>
      <c r="N13" s="62" t="n">
        <f aca="false">[16]01YTD!S$62</f>
        <v>0</v>
      </c>
      <c r="O13" s="62" t="n">
        <f aca="false">[16]01YTD!U$62</f>
        <v>0</v>
      </c>
      <c r="P13" s="62" t="n">
        <f aca="false">[16]01YTD!U$62</f>
        <v>0</v>
      </c>
      <c r="R13" s="40" t="n">
        <f aca="false">[17]JAN_YTD!$H$13</f>
        <v>5.063</v>
      </c>
    </row>
    <row r="14" customFormat="false" ht="12.75" hidden="false" customHeight="true" outlineLevel="4" collapsed="false">
      <c r="A14" s="57" t="s">
        <v>47</v>
      </c>
      <c r="B14" s="58" t="n">
        <f aca="false">D14+R14</f>
        <v>108.815</v>
      </c>
      <c r="C14" s="58"/>
      <c r="D14" s="62" t="n">
        <f aca="false">SUM(E14:M14)+O14+P14</f>
        <v>108.815</v>
      </c>
      <c r="E14" s="62" t="n">
        <f aca="false">[16]01YTD!J$46*-1</f>
        <v>108.812</v>
      </c>
      <c r="F14" s="62" t="n">
        <f aca="false">[16]01YTD!K$46*-1</f>
        <v>0.003</v>
      </c>
      <c r="G14" s="62" t="n">
        <f aca="false">[16]01YTD!L$46*-1</f>
        <v>-0</v>
      </c>
      <c r="H14" s="62" t="n">
        <f aca="false">[16]01YTD!M$46*-1</f>
        <v>-0</v>
      </c>
      <c r="I14" s="62" t="n">
        <f aca="false">[16]01YTD!N$46*-1</f>
        <v>-0</v>
      </c>
      <c r="J14" s="62" t="n">
        <f aca="false">[16]01YTD!O$46*-1</f>
        <v>-0</v>
      </c>
      <c r="K14" s="62" t="n">
        <f aca="false">[16]01YTD!P$46*-1</f>
        <v>-0</v>
      </c>
      <c r="L14" s="62" t="n">
        <f aca="false">[16]01YTD!Q$46*-1</f>
        <v>-0</v>
      </c>
      <c r="M14" s="62" t="n">
        <f aca="false">[16]01YTD!R$46*-1</f>
        <v>-0</v>
      </c>
      <c r="N14" s="62" t="n">
        <f aca="false">[16]01YTD!S$46*-1</f>
        <v>-0</v>
      </c>
      <c r="O14" s="62" t="n">
        <f aca="false">[16]01YTD!T$46*-1</f>
        <v>-0</v>
      </c>
      <c r="P14" s="62" t="n">
        <f aca="false">[16]01YTD!U$46*-1</f>
        <v>-0</v>
      </c>
    </row>
    <row r="15" customFormat="false" ht="12.75" hidden="false" customHeight="true" outlineLevel="4" collapsed="false">
      <c r="A15" s="57" t="s">
        <v>48</v>
      </c>
      <c r="B15" s="58" t="n">
        <f aca="false">D15+R15</f>
        <v>0</v>
      </c>
      <c r="C15" s="58"/>
      <c r="D15" s="62" t="n">
        <f aca="false">SUM(E15:M15)+O15+P15</f>
        <v>0</v>
      </c>
      <c r="E15" s="62"/>
      <c r="F15" s="62"/>
      <c r="G15" s="62"/>
      <c r="H15" s="62"/>
      <c r="I15" s="62"/>
      <c r="J15" s="62"/>
      <c r="K15" s="62"/>
      <c r="L15" s="62"/>
      <c r="M15" s="62"/>
      <c r="N15" s="62" t="n">
        <f aca="false">M15+L15</f>
        <v>0</v>
      </c>
      <c r="O15" s="62"/>
      <c r="P15" s="62"/>
    </row>
    <row r="16" customFormat="false" ht="12.75" hidden="false" customHeight="true" outlineLevel="4" collapsed="false">
      <c r="A16" s="57" t="s">
        <v>51</v>
      </c>
      <c r="B16" s="58" t="n">
        <f aca="false">D16+R16</f>
        <v>-3953.93</v>
      </c>
      <c r="C16" s="58"/>
      <c r="D16" s="62" t="n">
        <f aca="false">SUM(E16:M16)+O16+P16</f>
        <v>-3329.19</v>
      </c>
      <c r="E16" s="62" t="n">
        <f aca="false">[16]01YTD!J$43*-1</f>
        <v>-248.172</v>
      </c>
      <c r="F16" s="62" t="n">
        <f aca="false">[16]01YTD!K$43*-1</f>
        <v>-0</v>
      </c>
      <c r="G16" s="62" t="n">
        <f aca="false">[16]01YTD!L$43*-1</f>
        <v>-2532.381</v>
      </c>
      <c r="H16" s="62" t="n">
        <f aca="false">[16]01YTD!M$43*-1</f>
        <v>-548.637</v>
      </c>
      <c r="I16" s="62" t="n">
        <f aca="false">[16]01YTD!N$43*-1</f>
        <v>-0</v>
      </c>
      <c r="J16" s="62" t="n">
        <f aca="false">[16]01YTD!O$43*-1</f>
        <v>-0</v>
      </c>
      <c r="K16" s="62" t="n">
        <f aca="false">[16]01YTD!P$43*-1</f>
        <v>-0</v>
      </c>
      <c r="L16" s="62" t="n">
        <f aca="false">[16]01YTD!Q$43*-1</f>
        <v>-0</v>
      </c>
      <c r="M16" s="62" t="n">
        <f aca="false">[16]01YTD!R$43*-1</f>
        <v>-0</v>
      </c>
      <c r="N16" s="62" t="n">
        <f aca="false">[16]01YTD!S$43*-1</f>
        <v>-0</v>
      </c>
      <c r="O16" s="62" t="n">
        <f aca="false">[16]01YTD!T$43*-1</f>
        <v>-0</v>
      </c>
      <c r="P16" s="62" t="n">
        <f aca="false">[16]01YTD!U$43*-1</f>
        <v>-0</v>
      </c>
      <c r="R16" s="40" t="n">
        <f aca="false">[17]JAN_YTD!$H$19</f>
        <v>-624.74</v>
      </c>
    </row>
    <row r="17" customFormat="false" ht="12.75" hidden="false" customHeight="true" outlineLevel="4" collapsed="false">
      <c r="A17" s="57" t="s">
        <v>52</v>
      </c>
      <c r="B17" s="58" t="n">
        <f aca="false">D17+R17</f>
        <v>0</v>
      </c>
      <c r="C17" s="58"/>
      <c r="D17" s="62" t="n">
        <f aca="false">SUM(E17:M17)+O17+P17</f>
        <v>0</v>
      </c>
      <c r="E17" s="75"/>
      <c r="F17" s="75"/>
      <c r="G17" s="75"/>
      <c r="H17" s="75"/>
      <c r="I17" s="75"/>
      <c r="J17" s="75"/>
      <c r="K17" s="75"/>
      <c r="L17" s="75"/>
      <c r="M17" s="75"/>
      <c r="N17" s="62" t="n">
        <f aca="false">M17+L17</f>
        <v>0</v>
      </c>
      <c r="O17" s="75"/>
      <c r="P17" s="75"/>
    </row>
    <row r="18" customFormat="false" ht="12.75" hidden="false" customHeight="true" outlineLevel="4" collapsed="false">
      <c r="A18" s="57" t="s">
        <v>53</v>
      </c>
      <c r="B18" s="63" t="n">
        <f aca="false">D18+R18</f>
        <v>-18557</v>
      </c>
      <c r="C18" s="58"/>
      <c r="D18" s="62" t="n">
        <f aca="false">SUM(E18:M18)+O18+P18</f>
        <v>-18557</v>
      </c>
      <c r="E18" s="64" t="n">
        <f aca="false">-673-30</f>
        <v>-703</v>
      </c>
      <c r="F18" s="64" t="n">
        <f aca="false">107+442-514</f>
        <v>35</v>
      </c>
      <c r="G18" s="64" t="n">
        <v>0</v>
      </c>
      <c r="H18" s="64"/>
      <c r="I18" s="64"/>
      <c r="J18" s="64" t="n">
        <v>5</v>
      </c>
      <c r="K18" s="64" t="n">
        <v>56</v>
      </c>
      <c r="L18" s="64" t="n">
        <v>-75</v>
      </c>
      <c r="M18" s="64" t="n">
        <v>-16745</v>
      </c>
      <c r="N18" s="62" t="n">
        <f aca="false">M18+L18</f>
        <v>-16820</v>
      </c>
      <c r="O18" s="64" t="n">
        <v>-1117</v>
      </c>
      <c r="P18" s="64" t="n">
        <v>-13</v>
      </c>
      <c r="R18" s="50"/>
    </row>
    <row r="19" customFormat="false" ht="12.75" hidden="false" customHeight="true" outlineLevel="4" collapsed="false">
      <c r="A19" s="57" t="s">
        <v>54</v>
      </c>
      <c r="B19" s="66" t="n">
        <f aca="false">SUM(B10:B18)</f>
        <v>19284.891</v>
      </c>
      <c r="C19" s="58"/>
      <c r="D19" s="66" t="n">
        <f aca="false">SUM(D10:D18)</f>
        <v>19498.25</v>
      </c>
      <c r="E19" s="66" t="n">
        <f aca="false">SUM(E10:E18)</f>
        <v>25070.289</v>
      </c>
      <c r="F19" s="66" t="n">
        <f aca="false">SUM(F10:F18)</f>
        <v>7274.768</v>
      </c>
      <c r="G19" s="66" t="n">
        <f aca="false">SUM(G10:G18)</f>
        <v>0</v>
      </c>
      <c r="H19" s="66" t="n">
        <f aca="false">SUM(H10:H18)</f>
        <v>222.886</v>
      </c>
      <c r="I19" s="66" t="n">
        <f aca="false">SUM(I10:I18)</f>
        <v>0</v>
      </c>
      <c r="J19" s="66" t="n">
        <f aca="false">SUM(J10:J18)</f>
        <v>209.561</v>
      </c>
      <c r="K19" s="66" t="n">
        <f aca="false">SUM(K10:K18)</f>
        <v>77.729</v>
      </c>
      <c r="L19" s="66" t="n">
        <f aca="false">SUM(L10:L18)</f>
        <v>-75.199</v>
      </c>
      <c r="M19" s="66" t="n">
        <f aca="false">SUM(M10:M18)</f>
        <v>-16745</v>
      </c>
      <c r="N19" s="66" t="n">
        <f aca="false">SUM(N10:N18)</f>
        <v>-16820</v>
      </c>
      <c r="O19" s="66" t="n">
        <f aca="false">SUM(O10:O18)</f>
        <v>3476.216</v>
      </c>
      <c r="P19" s="66" t="n">
        <f aca="false">SUM(P10:P18)</f>
        <v>-13</v>
      </c>
      <c r="R19" s="66" t="n">
        <f aca="false">SUM(R10:R18)</f>
        <v>-213.359</v>
      </c>
    </row>
    <row r="20" customFormat="false" ht="12.75" hidden="false" customHeight="true" outlineLevel="4" collapsed="false">
      <c r="A20" s="57"/>
      <c r="B20" s="42"/>
      <c r="C20" s="58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R20" s="42"/>
    </row>
    <row r="21" customFormat="false" ht="12.75" hidden="false" customHeight="true" outlineLevel="4" collapsed="false">
      <c r="A21" s="57" t="s">
        <v>103</v>
      </c>
      <c r="B21" s="58"/>
      <c r="C21" s="58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</row>
    <row r="22" customFormat="false" ht="12.75" hidden="false" customHeight="true" outlineLevel="4" collapsed="false">
      <c r="A22" s="57" t="s">
        <v>56</v>
      </c>
      <c r="B22" s="58" t="n">
        <f aca="false">D22+R22</f>
        <v>-1872</v>
      </c>
      <c r="C22" s="58"/>
      <c r="D22" s="62" t="n">
        <f aca="false">SUM(E22:M22)+O22+P22</f>
        <v>-5195</v>
      </c>
      <c r="E22" s="62" t="n">
        <v>-3903</v>
      </c>
      <c r="F22" s="62" t="n">
        <v>-48</v>
      </c>
      <c r="G22" s="62"/>
      <c r="H22" s="62" t="n">
        <v>-20</v>
      </c>
      <c r="I22" s="62" t="n">
        <v>2</v>
      </c>
      <c r="J22" s="62" t="n">
        <v>-227</v>
      </c>
      <c r="K22" s="62" t="n">
        <v>52</v>
      </c>
      <c r="L22" s="62" t="n">
        <v>8</v>
      </c>
      <c r="M22" s="62"/>
      <c r="N22" s="62"/>
      <c r="O22" s="62" t="n">
        <v>-1021</v>
      </c>
      <c r="P22" s="62" t="n">
        <v>-38</v>
      </c>
      <c r="R22" s="40" t="n">
        <f aca="false">[17]JAN_YTD!$H$24</f>
        <v>3323</v>
      </c>
    </row>
    <row r="23" customFormat="false" ht="12.75" hidden="false" customHeight="true" outlineLevel="4" collapsed="false">
      <c r="A23" s="57" t="s">
        <v>58</v>
      </c>
      <c r="B23" s="58" t="n">
        <f aca="false">D23+R23</f>
        <v>1535</v>
      </c>
      <c r="C23" s="58"/>
      <c r="D23" s="62" t="n">
        <f aca="false">SUM(E23:M23)+O23+P23</f>
        <v>1535</v>
      </c>
      <c r="E23" s="62" t="n">
        <v>2513</v>
      </c>
      <c r="F23" s="62" t="n">
        <v>647</v>
      </c>
      <c r="G23" s="62"/>
      <c r="H23" s="62"/>
      <c r="I23" s="62" t="n">
        <v>-2</v>
      </c>
      <c r="J23" s="62" t="n">
        <v>2686</v>
      </c>
      <c r="K23" s="62" t="n">
        <v>-192</v>
      </c>
      <c r="L23" s="62" t="n">
        <v>67</v>
      </c>
      <c r="M23" s="62" t="n">
        <v>-17</v>
      </c>
      <c r="N23" s="62" t="n">
        <f aca="false">M23+L23</f>
        <v>50</v>
      </c>
      <c r="O23" s="62" t="n">
        <v>-4208</v>
      </c>
      <c r="P23" s="62" t="n">
        <v>41</v>
      </c>
      <c r="R23" s="40" t="n">
        <f aca="false">[17]JAN_YTD!$H$25</f>
        <v>0</v>
      </c>
    </row>
    <row r="24" customFormat="false" ht="12.75" hidden="false" customHeight="true" outlineLevel="4" collapsed="false">
      <c r="A24" s="57" t="s">
        <v>60</v>
      </c>
      <c r="B24" s="58" t="n">
        <f aca="false">D24+R24</f>
        <v>4</v>
      </c>
      <c r="C24" s="58"/>
      <c r="D24" s="62" t="n">
        <f aca="false">SUM(E24:M24)+O24+P24</f>
        <v>4</v>
      </c>
      <c r="E24" s="62" t="n">
        <v>2</v>
      </c>
      <c r="F24" s="62" t="n">
        <v>2</v>
      </c>
      <c r="G24" s="62"/>
      <c r="H24" s="62"/>
      <c r="I24" s="62"/>
      <c r="J24" s="62"/>
      <c r="K24" s="62"/>
      <c r="L24" s="62"/>
      <c r="M24" s="62"/>
      <c r="N24" s="62" t="n">
        <f aca="false">M24+L24</f>
        <v>0</v>
      </c>
      <c r="O24" s="62"/>
      <c r="P24" s="62"/>
      <c r="R24" s="40" t="n">
        <f aca="false">[17]JAN_YTD!$H$27</f>
        <v>0</v>
      </c>
    </row>
    <row r="25" customFormat="false" ht="12.75" hidden="false" customHeight="true" outlineLevel="4" collapsed="false">
      <c r="A25" s="57" t="s">
        <v>61</v>
      </c>
      <c r="B25" s="58" t="n">
        <f aca="false">D25+R25</f>
        <v>-1123</v>
      </c>
      <c r="C25" s="58"/>
      <c r="D25" s="62" t="n">
        <f aca="false">SUM(E25:M25)+O25+P25</f>
        <v>-1123</v>
      </c>
      <c r="E25" s="62" t="n">
        <v>-983</v>
      </c>
      <c r="F25" s="62" t="n">
        <v>-140</v>
      </c>
      <c r="G25" s="62"/>
      <c r="H25" s="62"/>
      <c r="I25" s="62"/>
      <c r="J25" s="62"/>
      <c r="K25" s="62"/>
      <c r="L25" s="62"/>
      <c r="M25" s="62"/>
      <c r="N25" s="62" t="n">
        <f aca="false">M25+L25</f>
        <v>0</v>
      </c>
      <c r="O25" s="62"/>
      <c r="P25" s="62"/>
      <c r="R25" s="40" t="n">
        <f aca="false">[17]JAN_YTD!$H$28</f>
        <v>0</v>
      </c>
    </row>
    <row r="26" customFormat="false" ht="12.75" hidden="false" customHeight="true" outlineLevel="4" collapsed="false">
      <c r="A26" s="57" t="s">
        <v>62</v>
      </c>
      <c r="B26" s="58" t="n">
        <f aca="false">D26+R26</f>
        <v>-11537</v>
      </c>
      <c r="C26" s="58"/>
      <c r="D26" s="62" t="n">
        <f aca="false">SUM(E26:M26)+O26+P26</f>
        <v>-11537</v>
      </c>
      <c r="E26" s="62" t="n">
        <v>-8794</v>
      </c>
      <c r="F26" s="62" t="n">
        <v>-1400</v>
      </c>
      <c r="G26" s="62"/>
      <c r="H26" s="62" t="n">
        <v>-128</v>
      </c>
      <c r="I26" s="62"/>
      <c r="J26" s="62" t="n">
        <v>-504</v>
      </c>
      <c r="K26" s="62" t="n">
        <v>-3</v>
      </c>
      <c r="L26" s="62"/>
      <c r="M26" s="62"/>
      <c r="N26" s="62" t="n">
        <f aca="false">M26+L26</f>
        <v>0</v>
      </c>
      <c r="O26" s="62" t="n">
        <v>-659</v>
      </c>
      <c r="P26" s="62" t="n">
        <v>-49</v>
      </c>
      <c r="R26" s="40" t="n">
        <f aca="false">[17]JAN_YTD!$H$29</f>
        <v>0</v>
      </c>
    </row>
    <row r="27" customFormat="false" ht="12.75" hidden="false" customHeight="true" outlineLevel="4" collapsed="false">
      <c r="A27" s="57" t="s">
        <v>104</v>
      </c>
      <c r="B27" s="58" t="n">
        <f aca="false">D27+R27</f>
        <v>3407</v>
      </c>
      <c r="C27" s="58"/>
      <c r="D27" s="62" t="n">
        <f aca="false">SUM(E27:M27)+O27+P27</f>
        <v>3407</v>
      </c>
      <c r="E27" s="62" t="n">
        <v>3491</v>
      </c>
      <c r="F27" s="62" t="n">
        <v>-84</v>
      </c>
      <c r="G27" s="62"/>
      <c r="H27" s="62"/>
      <c r="I27" s="62"/>
      <c r="J27" s="62"/>
      <c r="K27" s="62"/>
      <c r="L27" s="62"/>
      <c r="M27" s="62"/>
      <c r="N27" s="62" t="n">
        <f aca="false">M27+L27</f>
        <v>0</v>
      </c>
      <c r="O27" s="62"/>
      <c r="P27" s="62"/>
      <c r="R27" s="40" t="n">
        <f aca="false">[17]JAN_YTD!$H$30</f>
        <v>0</v>
      </c>
    </row>
    <row r="28" customFormat="false" ht="12.75" hidden="false" customHeight="true" outlineLevel="4" collapsed="false">
      <c r="A28" s="57" t="s">
        <v>64</v>
      </c>
      <c r="B28" s="58" t="n">
        <f aca="false">D28+R28</f>
        <v>1210</v>
      </c>
      <c r="C28" s="58"/>
      <c r="D28" s="62" t="n">
        <f aca="false">SUM(E28:M28)+O28+P28</f>
        <v>1173</v>
      </c>
      <c r="E28" s="62" t="n">
        <v>926</v>
      </c>
      <c r="F28" s="62" t="n">
        <v>234</v>
      </c>
      <c r="G28" s="62"/>
      <c r="H28" s="62"/>
      <c r="I28" s="62"/>
      <c r="J28" s="62" t="n">
        <v>-2</v>
      </c>
      <c r="K28" s="62" t="n">
        <v>-2</v>
      </c>
      <c r="L28" s="62"/>
      <c r="M28" s="62" t="n">
        <v>17</v>
      </c>
      <c r="N28" s="62" t="n">
        <f aca="false">M28+L28</f>
        <v>17</v>
      </c>
      <c r="O28" s="62" t="n">
        <v>0</v>
      </c>
      <c r="P28" s="62"/>
      <c r="R28" s="40" t="n">
        <f aca="false">[17]JAN_YTD!$H$31</f>
        <v>37</v>
      </c>
    </row>
    <row r="29" customFormat="false" ht="12.75" hidden="false" customHeight="true" outlineLevel="4" collapsed="false">
      <c r="A29" s="57" t="s">
        <v>65</v>
      </c>
      <c r="B29" s="58" t="n">
        <f aca="false">D29+R29</f>
        <v>-263</v>
      </c>
      <c r="C29" s="58"/>
      <c r="D29" s="62" t="n">
        <f aca="false">SUM(E29:M29)+O29+P29</f>
        <v>-263</v>
      </c>
      <c r="E29" s="75" t="n">
        <v>2875</v>
      </c>
      <c r="F29" s="75" t="n">
        <v>-3138</v>
      </c>
      <c r="G29" s="75"/>
      <c r="H29" s="75"/>
      <c r="I29" s="75"/>
      <c r="J29" s="75"/>
      <c r="K29" s="75"/>
      <c r="L29" s="75"/>
      <c r="M29" s="75"/>
      <c r="N29" s="62" t="n">
        <f aca="false">M29+L29</f>
        <v>0</v>
      </c>
      <c r="O29" s="75"/>
      <c r="P29" s="75"/>
      <c r="R29" s="40" t="n">
        <f aca="false">[17]JAN_YTD!$H$32</f>
        <v>0</v>
      </c>
    </row>
    <row r="30" customFormat="false" ht="12.75" hidden="false" customHeight="true" outlineLevel="4" collapsed="false">
      <c r="A30" s="57" t="s">
        <v>66</v>
      </c>
      <c r="B30" s="63" t="n">
        <f aca="false">D30+R30</f>
        <v>-436</v>
      </c>
      <c r="C30" s="58"/>
      <c r="D30" s="62" t="n">
        <f aca="false">SUM(E30:M30)+O30+P30</f>
        <v>-436</v>
      </c>
      <c r="E30" s="64" t="n">
        <v>-1238</v>
      </c>
      <c r="F30" s="64" t="n">
        <v>195</v>
      </c>
      <c r="G30" s="64"/>
      <c r="H30" s="64" t="n">
        <v>448</v>
      </c>
      <c r="I30" s="64"/>
      <c r="J30" s="64"/>
      <c r="K30" s="64"/>
      <c r="L30" s="64"/>
      <c r="M30" s="64"/>
      <c r="N30" s="64" t="n">
        <f aca="false">M30+L30</f>
        <v>0</v>
      </c>
      <c r="O30" s="64" t="n">
        <v>159</v>
      </c>
      <c r="P30" s="64"/>
      <c r="R30" s="50" t="n">
        <f aca="false">[17]JAN_YTD!$H$33</f>
        <v>0</v>
      </c>
    </row>
    <row r="31" customFormat="false" ht="12.75" hidden="false" customHeight="true" outlineLevel="4" collapsed="false">
      <c r="A31" s="57" t="s">
        <v>67</v>
      </c>
      <c r="B31" s="67" t="n">
        <f aca="false">SUM(B21:B30)</f>
        <v>-9075</v>
      </c>
      <c r="C31" s="68"/>
      <c r="D31" s="67" t="n">
        <f aca="false">SUM(D21:D30)</f>
        <v>-12435</v>
      </c>
      <c r="E31" s="67" t="n">
        <f aca="false">SUM(E21:E30)</f>
        <v>-5111</v>
      </c>
      <c r="F31" s="67" t="n">
        <f aca="false">SUM(F21:F30)</f>
        <v>-3732</v>
      </c>
      <c r="G31" s="67" t="n">
        <f aca="false">SUM(G21:G30)</f>
        <v>0</v>
      </c>
      <c r="H31" s="67" t="n">
        <f aca="false">SUM(H21:H30)</f>
        <v>300</v>
      </c>
      <c r="I31" s="67" t="n">
        <f aca="false">SUM(I21:I30)</f>
        <v>0</v>
      </c>
      <c r="J31" s="67" t="n">
        <f aca="false">SUM(J21:J30)</f>
        <v>1953</v>
      </c>
      <c r="K31" s="67" t="n">
        <f aca="false">SUM(K21:K30)</f>
        <v>-145</v>
      </c>
      <c r="L31" s="67" t="n">
        <f aca="false">SUM(L21:L30)</f>
        <v>75</v>
      </c>
      <c r="M31" s="67" t="n">
        <f aca="false">SUM(M21:M30)</f>
        <v>0</v>
      </c>
      <c r="N31" s="67" t="n">
        <f aca="false">SUM(N21:N30)</f>
        <v>67</v>
      </c>
      <c r="O31" s="67" t="n">
        <f aca="false">SUM(O21:O30)</f>
        <v>-5729</v>
      </c>
      <c r="P31" s="67" t="n">
        <f aca="false">SUM(P21:P30)</f>
        <v>-46</v>
      </c>
      <c r="R31" s="67" t="n">
        <f aca="false">SUM(R21:R30)</f>
        <v>3360</v>
      </c>
    </row>
    <row r="32" customFormat="false" ht="12.75" hidden="false" customHeight="true" outlineLevel="4" collapsed="false">
      <c r="A32" s="57"/>
      <c r="B32" s="69"/>
      <c r="C32" s="68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42"/>
      <c r="R32" s="69"/>
    </row>
    <row r="33" customFormat="false" ht="12.75" hidden="false" customHeight="true" outlineLevel="3" collapsed="false">
      <c r="A33" s="57" t="s">
        <v>68</v>
      </c>
      <c r="B33" s="70" t="n">
        <f aca="false">B19+B31</f>
        <v>10209.891</v>
      </c>
      <c r="C33" s="58"/>
      <c r="D33" s="70" t="n">
        <f aca="false">D19+D31</f>
        <v>7063.25000000001</v>
      </c>
      <c r="E33" s="70" t="n">
        <f aca="false">E19+E31</f>
        <v>19959.289</v>
      </c>
      <c r="F33" s="70" t="n">
        <f aca="false">F19+F31</f>
        <v>3542.768</v>
      </c>
      <c r="G33" s="70" t="n">
        <f aca="false">G19+G31</f>
        <v>0</v>
      </c>
      <c r="H33" s="70" t="n">
        <f aca="false">H19+H31</f>
        <v>522.886</v>
      </c>
      <c r="I33" s="70" t="n">
        <f aca="false">I19+I31</f>
        <v>0</v>
      </c>
      <c r="J33" s="70" t="n">
        <f aca="false">J19+J31</f>
        <v>2162.561</v>
      </c>
      <c r="K33" s="70" t="n">
        <f aca="false">K19+K31</f>
        <v>-67.271</v>
      </c>
      <c r="L33" s="70" t="n">
        <f aca="false">L19+L31</f>
        <v>-0.198999999999998</v>
      </c>
      <c r="M33" s="70" t="n">
        <f aca="false">M19+M31</f>
        <v>-16745</v>
      </c>
      <c r="N33" s="70" t="n">
        <f aca="false">N19+N31</f>
        <v>-16753</v>
      </c>
      <c r="O33" s="70" t="n">
        <f aca="false">O19+O31</f>
        <v>-2252.784</v>
      </c>
      <c r="P33" s="70" t="n">
        <f aca="false">P19+P31</f>
        <v>-59</v>
      </c>
      <c r="R33" s="70" t="n">
        <f aca="false">R19+R31</f>
        <v>3146.641</v>
      </c>
    </row>
    <row r="34" customFormat="false" ht="12.75" hidden="false" customHeight="true" outlineLevel="3" collapsed="false">
      <c r="B34" s="58"/>
      <c r="C34" s="58"/>
    </row>
    <row r="35" customFormat="false" ht="12.75" hidden="false" customHeight="true" outlineLevel="3" collapsed="false">
      <c r="A35" s="61" t="s">
        <v>69</v>
      </c>
      <c r="B35" s="58"/>
      <c r="C35" s="58"/>
    </row>
    <row r="36" customFormat="false" ht="12.75" hidden="false" customHeight="true" outlineLevel="4" collapsed="false">
      <c r="A36" s="57" t="s">
        <v>70</v>
      </c>
      <c r="B36" s="58" t="n">
        <f aca="false">D36+R36</f>
        <v>1828</v>
      </c>
      <c r="C36" s="58"/>
      <c r="D36" s="62" t="n">
        <f aca="false">SUM(E36:M36)+O36+P36</f>
        <v>1828</v>
      </c>
      <c r="E36" s="76" t="n">
        <v>1828</v>
      </c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</row>
    <row r="37" customFormat="false" ht="12.75" hidden="false" customHeight="true" outlineLevel="4" collapsed="false">
      <c r="A37" s="57" t="s">
        <v>71</v>
      </c>
      <c r="B37" s="58" t="n">
        <f aca="false">D37+R37</f>
        <v>-998</v>
      </c>
      <c r="C37" s="58"/>
      <c r="D37" s="62" t="n">
        <f aca="false">SUM(E37:M37)+O37+P37</f>
        <v>-998</v>
      </c>
      <c r="E37" s="76" t="n">
        <v>-651</v>
      </c>
      <c r="F37" s="76" t="n">
        <v>-347</v>
      </c>
      <c r="G37" s="76"/>
      <c r="H37" s="76"/>
      <c r="I37" s="76"/>
      <c r="J37" s="76"/>
      <c r="K37" s="76"/>
      <c r="L37" s="76"/>
      <c r="M37" s="76"/>
      <c r="N37" s="76"/>
      <c r="O37" s="76"/>
      <c r="P37" s="76"/>
    </row>
    <row r="38" customFormat="false" ht="12.75" hidden="false" customHeight="true" outlineLevel="4" collapsed="false">
      <c r="A38" s="57" t="s">
        <v>105</v>
      </c>
      <c r="B38" s="58" t="n">
        <f aca="false">D38+R38</f>
        <v>-359</v>
      </c>
      <c r="C38" s="58"/>
      <c r="D38" s="62" t="n">
        <f aca="false">SUM(E38:M38)+O38+P38</f>
        <v>-359</v>
      </c>
      <c r="E38" s="76" t="n">
        <f aca="false">-18-226</f>
        <v>-244</v>
      </c>
      <c r="F38" s="76" t="n">
        <f aca="false">-193+78</f>
        <v>-115</v>
      </c>
      <c r="G38" s="76"/>
      <c r="H38" s="76"/>
      <c r="I38" s="76"/>
      <c r="J38" s="76"/>
      <c r="K38" s="76"/>
      <c r="L38" s="76"/>
      <c r="M38" s="76"/>
      <c r="N38" s="76"/>
      <c r="O38" s="76"/>
      <c r="P38" s="76"/>
    </row>
    <row r="39" customFormat="false" ht="12.75" hidden="false" customHeight="true" outlineLevel="4" collapsed="false">
      <c r="A39" s="57" t="s">
        <v>120</v>
      </c>
      <c r="B39" s="58" t="n">
        <f aca="false">D39+R39</f>
        <v>-43400</v>
      </c>
      <c r="C39" s="58"/>
      <c r="D39" s="62" t="n">
        <f aca="false">SUM(E39:P39)</f>
        <v>0</v>
      </c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R39" s="40" t="n">
        <f aca="false">[17]JAN_YTD!$J$42</f>
        <v>-43400</v>
      </c>
    </row>
    <row r="40" customFormat="false" ht="12.75" hidden="false" customHeight="true" outlineLevel="4" collapsed="false">
      <c r="A40" s="57" t="s">
        <v>121</v>
      </c>
      <c r="B40" s="58" t="n">
        <f aca="false">D40+R40</f>
        <v>-77</v>
      </c>
      <c r="C40" s="58"/>
      <c r="D40" s="62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R40" s="40" t="n">
        <f aca="false">[17]JAN_YTD!$J$43</f>
        <v>-77</v>
      </c>
    </row>
    <row r="41" customFormat="false" ht="12.75" hidden="false" customHeight="true" outlineLevel="4" collapsed="false">
      <c r="A41" s="57" t="s">
        <v>76</v>
      </c>
      <c r="B41" s="58" t="n">
        <f aca="false">D41+R41</f>
        <v>0</v>
      </c>
      <c r="C41" s="58"/>
      <c r="D41" s="62" t="n">
        <f aca="false">SUM(E41:P41)</f>
        <v>0</v>
      </c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</row>
    <row r="42" customFormat="false" ht="12.75" hidden="false" customHeight="true" outlineLevel="4" collapsed="false">
      <c r="A42" s="57" t="s">
        <v>77</v>
      </c>
      <c r="B42" s="63" t="n">
        <f aca="false">D42+R42</f>
        <v>-1861</v>
      </c>
      <c r="C42" s="58"/>
      <c r="D42" s="64" t="n">
        <f aca="false">SUM(E42:M42)+O42+P42</f>
        <v>-1861</v>
      </c>
      <c r="E42" s="64" t="n">
        <v>-1861</v>
      </c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R42" s="50"/>
    </row>
    <row r="43" customFormat="false" ht="12.75" hidden="false" customHeight="true" outlineLevel="3" collapsed="false">
      <c r="A43" s="57" t="s">
        <v>78</v>
      </c>
      <c r="B43" s="70" t="n">
        <f aca="false">SUM(B36:B42)</f>
        <v>-44867</v>
      </c>
      <c r="C43" s="71" t="n">
        <f aca="false">SUM(C36:C42)</f>
        <v>0</v>
      </c>
      <c r="D43" s="70" t="n">
        <f aca="false">SUM(D36:D42)</f>
        <v>-1390</v>
      </c>
      <c r="E43" s="70" t="n">
        <f aca="false">SUM(E36:E42)</f>
        <v>-928</v>
      </c>
      <c r="F43" s="70" t="n">
        <f aca="false">SUM(F36:F42)</f>
        <v>-462</v>
      </c>
      <c r="G43" s="70" t="n">
        <f aca="false">SUM(G36:G42)</f>
        <v>0</v>
      </c>
      <c r="H43" s="70" t="n">
        <f aca="false">SUM(H36:H42)</f>
        <v>0</v>
      </c>
      <c r="I43" s="70" t="n">
        <f aca="false">SUM(I36:I42)</f>
        <v>0</v>
      </c>
      <c r="J43" s="70" t="n">
        <f aca="false">SUM(J36:J42)</f>
        <v>0</v>
      </c>
      <c r="K43" s="70" t="n">
        <f aca="false">SUM(K36:K42)</f>
        <v>0</v>
      </c>
      <c r="L43" s="70" t="n">
        <f aca="false">SUM(L36:L42)</f>
        <v>0</v>
      </c>
      <c r="M43" s="70" t="n">
        <f aca="false">SUM(M36:M42)</f>
        <v>0</v>
      </c>
      <c r="N43" s="70"/>
      <c r="O43" s="70" t="n">
        <f aca="false">SUM(O36:O42)</f>
        <v>0</v>
      </c>
      <c r="P43" s="70" t="n">
        <f aca="false">SUM(P36:P42)</f>
        <v>0</v>
      </c>
      <c r="R43" s="66" t="n">
        <f aca="false">SUM(R36:R42)</f>
        <v>-43477</v>
      </c>
    </row>
    <row r="44" customFormat="false" ht="12.75" hidden="false" customHeight="true" outlineLevel="3" collapsed="false">
      <c r="B44" s="58"/>
      <c r="C44" s="58"/>
    </row>
    <row r="45" customFormat="false" ht="12.75" hidden="false" customHeight="true" outlineLevel="3" collapsed="false">
      <c r="A45" s="61" t="s">
        <v>79</v>
      </c>
      <c r="B45" s="58"/>
      <c r="C45" s="58"/>
    </row>
    <row r="46" customFormat="false" ht="12.75" hidden="false" customHeight="true" outlineLevel="4" collapsed="false">
      <c r="A46" s="57" t="s">
        <v>80</v>
      </c>
      <c r="B46" s="58" t="n">
        <f aca="false">D46+R46</f>
        <v>0</v>
      </c>
      <c r="C46" s="58"/>
      <c r="D46" s="62" t="n">
        <f aca="false">SUM(E46:P46)</f>
        <v>0</v>
      </c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</row>
    <row r="47" customFormat="false" ht="12.75" hidden="false" customHeight="true" outlineLevel="4" collapsed="false">
      <c r="A47" s="57" t="s">
        <v>81</v>
      </c>
      <c r="B47" s="58" t="n">
        <f aca="false">D47+R47</f>
        <v>-99993</v>
      </c>
      <c r="C47" s="58"/>
      <c r="D47" s="62" t="n">
        <f aca="false">SUM(E47:M47)+O47+P47</f>
        <v>-99993</v>
      </c>
      <c r="E47" s="62" t="n">
        <v>7</v>
      </c>
      <c r="F47" s="62" t="n">
        <v>-100000</v>
      </c>
      <c r="G47" s="62"/>
      <c r="H47" s="62"/>
      <c r="I47" s="62"/>
      <c r="J47" s="62"/>
      <c r="K47" s="62"/>
      <c r="L47" s="62"/>
      <c r="M47" s="62"/>
      <c r="N47" s="62"/>
      <c r="O47" s="62"/>
      <c r="P47" s="62"/>
    </row>
    <row r="48" customFormat="false" ht="12.75" hidden="false" customHeight="true" outlineLevel="4" collapsed="false">
      <c r="A48" s="57" t="s">
        <v>83</v>
      </c>
      <c r="B48" s="58" t="n">
        <f aca="false">D48+R48</f>
        <v>0</v>
      </c>
      <c r="C48" s="58"/>
      <c r="D48" s="62" t="n">
        <f aca="false">SUM(E48:P48)</f>
        <v>0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</row>
    <row r="49" customFormat="false" ht="12.75" hidden="false" customHeight="true" outlineLevel="4" collapsed="false">
      <c r="A49" s="57" t="s">
        <v>84</v>
      </c>
      <c r="B49" s="58" t="n">
        <f aca="false">D49+R49</f>
        <v>0</v>
      </c>
      <c r="C49" s="58"/>
      <c r="D49" s="62" t="n">
        <f aca="false">SUM(E49:M49)+O49+P49</f>
        <v>0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</row>
    <row r="50" customFormat="false" ht="12.75" hidden="false" customHeight="true" outlineLevel="4" collapsed="false">
      <c r="A50" s="57" t="s">
        <v>107</v>
      </c>
      <c r="B50" s="58" t="n">
        <f aca="false">D50+R50</f>
        <v>-3186</v>
      </c>
      <c r="C50" s="58"/>
      <c r="D50" s="62" t="n">
        <f aca="false">SUM(E50:P50)</f>
        <v>0</v>
      </c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R50" s="50" t="n">
        <f aca="false">[17]JAN_YTD!$H$53</f>
        <v>-3186</v>
      </c>
    </row>
    <row r="51" customFormat="false" ht="12.75" hidden="false" customHeight="true" outlineLevel="3" collapsed="false">
      <c r="A51" s="57" t="s">
        <v>86</v>
      </c>
      <c r="B51" s="72" t="n">
        <f aca="false">SUM(B46:B50)</f>
        <v>-103179</v>
      </c>
      <c r="C51" s="58"/>
      <c r="D51" s="72" t="n">
        <f aca="false">SUM(D46:D50)</f>
        <v>-99993</v>
      </c>
      <c r="E51" s="72" t="n">
        <f aca="false">SUM(E46:E50)</f>
        <v>7</v>
      </c>
      <c r="F51" s="72" t="n">
        <f aca="false">SUM(F46:F50)</f>
        <v>-100000</v>
      </c>
      <c r="G51" s="72" t="n">
        <f aca="false">SUM(G46:G50)</f>
        <v>0</v>
      </c>
      <c r="H51" s="72" t="n">
        <f aca="false">SUM(H46:H50)</f>
        <v>0</v>
      </c>
      <c r="I51" s="72" t="n">
        <f aca="false">SUM(I46:I50)</f>
        <v>0</v>
      </c>
      <c r="J51" s="72" t="n">
        <f aca="false">SUM(J46:J50)</f>
        <v>0</v>
      </c>
      <c r="K51" s="72" t="n">
        <f aca="false">SUM(K46:K50)</f>
        <v>0</v>
      </c>
      <c r="L51" s="72" t="n">
        <f aca="false">SUM(L46:L50)</f>
        <v>0</v>
      </c>
      <c r="M51" s="72" t="n">
        <f aca="false">SUM(M46:M50)</f>
        <v>0</v>
      </c>
      <c r="N51" s="72"/>
      <c r="O51" s="72" t="n">
        <f aca="false">SUM(O46:O50)</f>
        <v>0</v>
      </c>
      <c r="P51" s="72" t="n">
        <f aca="false">SUM(P46:P50)</f>
        <v>0</v>
      </c>
      <c r="R51" s="72" t="n">
        <f aca="false">SUM(R46:R50)</f>
        <v>-3186</v>
      </c>
    </row>
    <row r="52" customFormat="false" ht="12.75" hidden="false" customHeight="true" outlineLevel="3" collapsed="false">
      <c r="A52" s="57"/>
      <c r="B52" s="71"/>
      <c r="C52" s="58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R52" s="71"/>
    </row>
    <row r="53" customFormat="false" ht="12.75" hidden="false" customHeight="true" outlineLevel="2" collapsed="false">
      <c r="A53" s="57" t="s">
        <v>87</v>
      </c>
      <c r="B53" s="71" t="n">
        <f aca="false">B33+B43+B51</f>
        <v>-137836.109</v>
      </c>
      <c r="C53" s="58"/>
      <c r="D53" s="71" t="n">
        <f aca="false">D33+D43+D51</f>
        <v>-94319.75</v>
      </c>
      <c r="E53" s="71" t="n">
        <f aca="false">E33+E43+E51</f>
        <v>19038.289</v>
      </c>
      <c r="F53" s="71" t="n">
        <f aca="false">F33+F43+F51</f>
        <v>-96919.232</v>
      </c>
      <c r="G53" s="71" t="n">
        <f aca="false">G33+G43+G51</f>
        <v>0</v>
      </c>
      <c r="H53" s="71" t="n">
        <f aca="false">H33+H43+H51</f>
        <v>522.886</v>
      </c>
      <c r="I53" s="71" t="n">
        <f aca="false">I33+I43+I51</f>
        <v>0</v>
      </c>
      <c r="J53" s="71" t="n">
        <f aca="false">J33+J43+J51</f>
        <v>2162.561</v>
      </c>
      <c r="K53" s="71" t="n">
        <f aca="false">K33+K43+K51</f>
        <v>-67.271</v>
      </c>
      <c r="L53" s="71" t="n">
        <f aca="false">L33+L43+L51</f>
        <v>-0.198999999999998</v>
      </c>
      <c r="M53" s="71" t="n">
        <f aca="false">M33+M43+M51</f>
        <v>-16745</v>
      </c>
      <c r="N53" s="71" t="n">
        <f aca="false">M53+L53</f>
        <v>-16745.199</v>
      </c>
      <c r="O53" s="71" t="n">
        <f aca="false">O33+O43+O51</f>
        <v>-2252.784</v>
      </c>
      <c r="P53" s="71" t="n">
        <f aca="false">P33+P43+P51</f>
        <v>-59</v>
      </c>
      <c r="R53" s="71" t="n">
        <f aca="false">R33+R43+R51</f>
        <v>-43516.359</v>
      </c>
    </row>
    <row r="54" customFormat="false" ht="12.75" hidden="false" customHeight="true" outlineLevel="2" collapsed="false">
      <c r="A54" s="57"/>
      <c r="B54" s="71"/>
      <c r="C54" s="58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R54" s="71"/>
    </row>
    <row r="55" customFormat="false" ht="12.75" hidden="false" customHeight="true" outlineLevel="2" collapsed="false">
      <c r="A55" s="57" t="s">
        <v>88</v>
      </c>
      <c r="B55" s="63"/>
      <c r="C55" s="58"/>
      <c r="D55" s="77" t="n">
        <v>0</v>
      </c>
      <c r="E55" s="77" t="n">
        <v>0</v>
      </c>
      <c r="F55" s="77" t="n">
        <v>0</v>
      </c>
      <c r="G55" s="77" t="n">
        <v>0</v>
      </c>
      <c r="H55" s="77" t="n">
        <v>0</v>
      </c>
      <c r="I55" s="77" t="n">
        <v>0</v>
      </c>
      <c r="J55" s="77" t="n">
        <v>0</v>
      </c>
      <c r="K55" s="77" t="n">
        <v>0</v>
      </c>
      <c r="L55" s="77" t="n">
        <v>0</v>
      </c>
      <c r="M55" s="77" t="n">
        <v>0</v>
      </c>
      <c r="N55" s="77"/>
      <c r="O55" s="77" t="n">
        <v>0</v>
      </c>
      <c r="P55" s="77" t="n">
        <v>0</v>
      </c>
      <c r="R55" s="50"/>
    </row>
    <row r="56" customFormat="false" ht="12.75" hidden="false" customHeight="true" outlineLevel="2" collapsed="false">
      <c r="A56" s="57"/>
      <c r="B56" s="58"/>
      <c r="C56" s="58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R56" s="42"/>
    </row>
    <row r="57" customFormat="false" ht="12.75" hidden="false" customHeight="true" outlineLevel="1" collapsed="false">
      <c r="A57" s="57" t="s">
        <v>89</v>
      </c>
      <c r="B57" s="74" t="n">
        <f aca="false">B53-B55</f>
        <v>-137836.109</v>
      </c>
      <c r="C57" s="58"/>
      <c r="D57" s="74" t="n">
        <f aca="false">D53-D55</f>
        <v>-94319.75</v>
      </c>
      <c r="E57" s="74" t="n">
        <f aca="false">E53-E55</f>
        <v>19038.289</v>
      </c>
      <c r="F57" s="74" t="n">
        <f aca="false">F53-F55</f>
        <v>-96919.232</v>
      </c>
      <c r="G57" s="74" t="n">
        <f aca="false">G53-G55</f>
        <v>0</v>
      </c>
      <c r="H57" s="74" t="n">
        <f aca="false">H53-H55</f>
        <v>522.886</v>
      </c>
      <c r="I57" s="74" t="n">
        <f aca="false">I53-I55</f>
        <v>0</v>
      </c>
      <c r="J57" s="74" t="n">
        <f aca="false">J53-J55</f>
        <v>2162.561</v>
      </c>
      <c r="K57" s="74" t="n">
        <f aca="false">K53-K55</f>
        <v>-67.271</v>
      </c>
      <c r="L57" s="74" t="n">
        <f aca="false">L53-L55</f>
        <v>-0.198999999999998</v>
      </c>
      <c r="M57" s="74" t="n">
        <f aca="false">M53-M55</f>
        <v>-16745</v>
      </c>
      <c r="N57" s="74" t="n">
        <f aca="false">M57+L57</f>
        <v>-16745.199</v>
      </c>
      <c r="O57" s="74" t="n">
        <f aca="false">O53-O55</f>
        <v>-2252.784</v>
      </c>
      <c r="P57" s="74" t="n">
        <f aca="false">P53-P55</f>
        <v>-59</v>
      </c>
      <c r="R57" s="74" t="n">
        <f aca="false">R53-R55</f>
        <v>-43516.359</v>
      </c>
    </row>
    <row r="58" customFormat="false" ht="12.75" hidden="false" customHeight="true" outlineLevel="1" collapsed="false">
      <c r="B58" s="42"/>
      <c r="C58" s="42"/>
    </row>
    <row r="59" customFormat="false" ht="12.75" hidden="false" customHeight="true" outlineLevel="0" collapsed="false">
      <c r="A59" s="40" t="s">
        <v>90</v>
      </c>
      <c r="B59" s="64" t="n">
        <f aca="false">D59+R59</f>
        <v>99992</v>
      </c>
      <c r="C59" s="42"/>
      <c r="D59" s="64" t="n">
        <f aca="false">SUM(E59:P59)</f>
        <v>99992</v>
      </c>
      <c r="E59" s="77" t="n">
        <v>-7</v>
      </c>
      <c r="F59" s="77" t="n">
        <v>100000</v>
      </c>
      <c r="G59" s="77" t="n">
        <v>0</v>
      </c>
      <c r="H59" s="77" t="n">
        <v>0</v>
      </c>
      <c r="I59" s="77" t="n">
        <v>135</v>
      </c>
      <c r="J59" s="77" t="n">
        <v>-420</v>
      </c>
      <c r="K59" s="77" t="n">
        <v>284</v>
      </c>
      <c r="L59" s="77" t="n">
        <v>0</v>
      </c>
      <c r="M59" s="77" t="n">
        <v>0</v>
      </c>
      <c r="N59" s="77"/>
      <c r="O59" s="77" t="n">
        <v>0</v>
      </c>
      <c r="P59" s="77" t="n">
        <v>0</v>
      </c>
      <c r="R59" s="50"/>
    </row>
    <row r="60" customFormat="false" ht="12.75" hidden="false" customHeight="true" outlineLevel="0" collapsed="false">
      <c r="B60" s="42"/>
      <c r="C60" s="42"/>
    </row>
    <row r="61" customFormat="false" ht="12.75" hidden="false" customHeight="true" outlineLevel="0" collapsed="false">
      <c r="A61" s="40" t="s">
        <v>91</v>
      </c>
      <c r="B61" s="74" t="n">
        <f aca="false">B57+B59</f>
        <v>-37844.109</v>
      </c>
      <c r="C61" s="42"/>
      <c r="D61" s="74" t="n">
        <f aca="false">D57+D59</f>
        <v>5672.25</v>
      </c>
      <c r="E61" s="74" t="n">
        <f aca="false">E57+E59</f>
        <v>19031.289</v>
      </c>
      <c r="F61" s="74" t="n">
        <f aca="false">F57+F59</f>
        <v>3080.768</v>
      </c>
      <c r="G61" s="74" t="n">
        <f aca="false">G57+G59</f>
        <v>0</v>
      </c>
      <c r="H61" s="74" t="n">
        <f aca="false">H57+H59</f>
        <v>522.886</v>
      </c>
      <c r="I61" s="74" t="n">
        <f aca="false">I57+I59</f>
        <v>135</v>
      </c>
      <c r="J61" s="74" t="n">
        <f aca="false">J57+J59</f>
        <v>1742.561</v>
      </c>
      <c r="K61" s="74" t="n">
        <f aca="false">K57+K59</f>
        <v>216.729</v>
      </c>
      <c r="L61" s="74" t="n">
        <f aca="false">L57+L59</f>
        <v>-0.198999999999998</v>
      </c>
      <c r="M61" s="74" t="n">
        <f aca="false">M57+M59</f>
        <v>-16745</v>
      </c>
      <c r="N61" s="74" t="n">
        <f aca="false">M61+L61</f>
        <v>-16745.199</v>
      </c>
      <c r="O61" s="74" t="n">
        <f aca="false">O57+O59</f>
        <v>-2252.784</v>
      </c>
      <c r="P61" s="74" t="n">
        <f aca="false">P57+P59</f>
        <v>-59</v>
      </c>
      <c r="R61" s="74" t="n">
        <f aca="false">R57+R59</f>
        <v>-43516.359</v>
      </c>
    </row>
    <row r="62" customFormat="false" ht="12.75" hidden="false" customHeight="true" outlineLevel="0" collapsed="false">
      <c r="B62" s="42"/>
      <c r="C62" s="42"/>
    </row>
    <row r="63" customFormat="false" ht="12.75" hidden="false" customHeight="true" outlineLevel="0" collapsed="false">
      <c r="B63" s="42"/>
      <c r="C63" s="42"/>
      <c r="P63" s="40" t="n">
        <v>145</v>
      </c>
    </row>
    <row r="64" customFormat="false" ht="12.75" hidden="false" customHeight="true" outlineLevel="0" collapsed="false">
      <c r="P64" s="40" t="n">
        <f aca="false">P57-P63</f>
        <v>-204</v>
      </c>
    </row>
  </sheetData>
  <printOptions headings="false" gridLines="false" gridLinesSet="true" horizontalCentered="true" verticalCentered="false"/>
  <pageMargins left="0.170138888888889" right="0.170138888888889" top="0.729861111111111" bottom="0.5" header="0.511811023622047" footer="0.511811023622047"/>
  <pageSetup paperSize="1" scale="70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79"/>
  <sheetViews>
    <sheetView showFormulas="false" showGridLines="true" showRowColHeaders="true" showZeros="true" rightToLeft="false" tabSelected="false" showOutlineSymbols="true" defaultGridColor="true" view="normal" topLeftCell="A45" colorId="64" zoomScale="100" zoomScaleNormal="100" zoomScalePageLayoutView="100" workbookViewId="0">
      <selection pane="topLeft" activeCell="F72" activeCellId="0" sqref="F72"/>
    </sheetView>
  </sheetViews>
  <sheetFormatPr defaultColWidth="8.9921875" defaultRowHeight="11.25" customHeight="true" zeroHeight="false" outlineLevelRow="4" outlineLevelCol="0"/>
  <cols>
    <col collapsed="false" customWidth="true" hidden="false" outlineLevel="0" max="1" min="1" style="5" width="52.82"/>
    <col collapsed="false" customWidth="true" hidden="false" outlineLevel="0" max="3" min="2" style="5" width="1.82"/>
    <col collapsed="false" customWidth="true" hidden="false" outlineLevel="0" max="4" min="4" style="5" width="10.82"/>
    <col collapsed="false" customWidth="true" hidden="false" outlineLevel="0" max="5" min="5" style="5" width="1.82"/>
    <col collapsed="false" customWidth="true" hidden="false" outlineLevel="0" max="13" min="6" style="5" width="10.82"/>
    <col collapsed="false" customWidth="true" hidden="true" outlineLevel="0" max="15" min="14" style="5" width="10.82"/>
    <col collapsed="false" customWidth="true" hidden="false" outlineLevel="0" max="18" min="16" style="5" width="10.82"/>
    <col collapsed="false" customWidth="false" hidden="false" outlineLevel="0" max="257" min="19" style="5" width="8.99"/>
  </cols>
  <sheetData>
    <row r="1" customFormat="false" ht="11.25" hidden="false" customHeight="false" outlineLevel="0" collapsed="false">
      <c r="A1" s="6" t="s">
        <v>18</v>
      </c>
      <c r="B1" s="7"/>
      <c r="C1" s="7"/>
      <c r="D1" s="7"/>
      <c r="E1" s="7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customFormat="false" ht="11.25" hidden="false" customHeight="false" outlineLevel="0" collapsed="false">
      <c r="A2" s="9" t="s">
        <v>19</v>
      </c>
      <c r="D2" s="10"/>
      <c r="E2" s="10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customFormat="false" ht="11.25" hidden="false" customHeight="false" outlineLevel="0" collapsed="false">
      <c r="A3" s="12" t="s">
        <v>20</v>
      </c>
      <c r="B3" s="7"/>
      <c r="D3" s="13"/>
      <c r="E3" s="10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customFormat="false" ht="11.25" hidden="false" customHeight="false" outlineLevel="0" collapsed="false">
      <c r="A4" s="7"/>
      <c r="B4" s="14"/>
      <c r="D4" s="15" t="s">
        <v>21</v>
      </c>
      <c r="E4" s="10"/>
      <c r="F4" s="15" t="s">
        <v>22</v>
      </c>
      <c r="G4" s="15" t="s">
        <v>23</v>
      </c>
      <c r="H4" s="15" t="s">
        <v>24</v>
      </c>
      <c r="I4" s="15" t="s">
        <v>25</v>
      </c>
      <c r="J4" s="15" t="s">
        <v>26</v>
      </c>
      <c r="K4" s="15" t="s">
        <v>27</v>
      </c>
      <c r="L4" s="15" t="s">
        <v>28</v>
      </c>
      <c r="M4" s="15" t="s">
        <v>29</v>
      </c>
      <c r="N4" s="15" t="s">
        <v>30</v>
      </c>
      <c r="O4" s="15" t="s">
        <v>31</v>
      </c>
      <c r="P4" s="15" t="s">
        <v>30</v>
      </c>
      <c r="Q4" s="15" t="s">
        <v>32</v>
      </c>
      <c r="R4" s="15" t="s">
        <v>33</v>
      </c>
    </row>
    <row r="5" customFormat="false" ht="11.25" hidden="false" customHeight="false" outlineLevel="0" collapsed="false">
      <c r="A5" s="16" t="s">
        <v>34</v>
      </c>
      <c r="B5" s="14"/>
      <c r="C5" s="15"/>
      <c r="D5" s="17" t="s">
        <v>35</v>
      </c>
      <c r="E5" s="10"/>
      <c r="F5" s="17"/>
      <c r="G5" s="17"/>
      <c r="H5" s="17"/>
      <c r="I5" s="17"/>
      <c r="J5" s="17"/>
      <c r="K5" s="17" t="n">
        <v>543</v>
      </c>
      <c r="L5" s="17" t="n">
        <v>584</v>
      </c>
      <c r="M5" s="17" t="n">
        <v>583</v>
      </c>
      <c r="N5" s="17" t="s">
        <v>36</v>
      </c>
      <c r="O5" s="17"/>
      <c r="P5" s="17" t="s">
        <v>37</v>
      </c>
      <c r="Q5" s="17" t="s">
        <v>38</v>
      </c>
      <c r="R5" s="17"/>
    </row>
    <row r="6" customFormat="false" ht="9.95" hidden="false" customHeight="true" outlineLevel="2" collapsed="false">
      <c r="A6" s="18"/>
      <c r="B6" s="14"/>
      <c r="C6" s="14"/>
      <c r="D6" s="19"/>
      <c r="E6" s="1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</row>
    <row r="7" customFormat="false" ht="10.5" hidden="false" customHeight="true" outlineLevel="4" collapsed="false">
      <c r="A7" s="21" t="s">
        <v>39</v>
      </c>
      <c r="B7" s="14"/>
      <c r="C7" s="14"/>
      <c r="D7" s="22"/>
      <c r="E7" s="10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</row>
    <row r="8" customFormat="false" ht="10.5" hidden="false" customHeight="true" outlineLevel="4" collapsed="false">
      <c r="A8" s="18" t="s">
        <v>40</v>
      </c>
      <c r="B8" s="14"/>
      <c r="C8" s="14"/>
      <c r="D8" s="23" t="n">
        <f aca="false">SUM(F8:O8)+SUM(Q8:R8)</f>
        <v>85952</v>
      </c>
      <c r="E8" s="24"/>
      <c r="F8" s="23" t="n">
        <f aca="false">ROUND([1]03YTD!I$65,0)</f>
        <v>57080</v>
      </c>
      <c r="G8" s="23" t="n">
        <f aca="false">ROUND([1]03YTD!J$65,0)</f>
        <v>14708</v>
      </c>
      <c r="H8" s="23" t="n">
        <f aca="false">ROUND([1]03YTD!K$65,0)</f>
        <v>6279</v>
      </c>
      <c r="I8" s="23" t="n">
        <f aca="false">ROUND([1]03YTD!L$65,0)</f>
        <v>851</v>
      </c>
      <c r="J8" s="23" t="n">
        <f aca="false">ROUND([1]03YTD!M$65,0)</f>
        <v>-180</v>
      </c>
      <c r="K8" s="23" t="n">
        <f aca="false">ROUND([1]03YTD!N$65,0)</f>
        <v>9</v>
      </c>
      <c r="L8" s="23" t="n">
        <f aca="false">ROUND([1]03YTD!O$65,0)</f>
        <v>1070</v>
      </c>
      <c r="M8" s="23" t="n">
        <f aca="false">ROUND([1]03YTD!P$65,0)</f>
        <v>-191</v>
      </c>
      <c r="N8" s="23" t="n">
        <f aca="false">ROUND([1]03YTD!Q$65,0)</f>
        <v>2409</v>
      </c>
      <c r="O8" s="23" t="n">
        <f aca="false">ROUND([1]03YTD!R$65,0)</f>
        <v>5</v>
      </c>
      <c r="P8" s="23" t="n">
        <f aca="false">N8+O8</f>
        <v>2414</v>
      </c>
      <c r="Q8" s="23" t="n">
        <f aca="false">ROUND([1]03YTD!U$65,0)</f>
        <v>3912</v>
      </c>
      <c r="R8" s="23" t="n">
        <f aca="false">ROUND([1]03YTD!V$65,0)</f>
        <v>0</v>
      </c>
    </row>
    <row r="9" customFormat="false" ht="10.5" hidden="false" customHeight="true" outlineLevel="4" collapsed="false">
      <c r="A9" s="18" t="s">
        <v>41</v>
      </c>
      <c r="B9" s="14"/>
      <c r="C9" s="14"/>
      <c r="D9" s="25" t="n">
        <f aca="false">SUM(F9:O9)+SUM(Q9:R9)</f>
        <v>7029</v>
      </c>
      <c r="E9" s="24"/>
      <c r="F9" s="25" t="n">
        <f aca="false">ROUND(-[1]03YTD!I$72,0)</f>
        <v>-4013</v>
      </c>
      <c r="G9" s="25" t="n">
        <f aca="false">ROUND(-[1]03YTD!J$72,0)</f>
        <v>-223</v>
      </c>
      <c r="H9" s="25" t="n">
        <f aca="false">ROUND(-[1]03YTD!K$72,0)</f>
        <v>-0</v>
      </c>
      <c r="I9" s="25" t="n">
        <f aca="false">ROUND(-[1]03YTD!L$72,0)</f>
        <v>880</v>
      </c>
      <c r="J9" s="25" t="n">
        <f aca="false">ROUND(-[1]03YTD!M$72,0)</f>
        <v>39</v>
      </c>
      <c r="K9" s="25" t="n">
        <f aca="false">ROUND(-[1]03YTD!N$72,0)</f>
        <v>-0</v>
      </c>
      <c r="L9" s="25" t="n">
        <f aca="false">ROUND(-[1]03YTD!O$72,0)</f>
        <v>84</v>
      </c>
      <c r="M9" s="25" t="n">
        <f aca="false">ROUND(-[1]03YTD!P$72,0)</f>
        <v>-0</v>
      </c>
      <c r="N9" s="25" t="n">
        <f aca="false">ROUND(-[1]03YTD!Q$72,0)</f>
        <v>288</v>
      </c>
      <c r="O9" s="25" t="n">
        <f aca="false">ROUND(-[1]03YTD!R$72,0)</f>
        <v>-0</v>
      </c>
      <c r="P9" s="25" t="n">
        <f aca="false">N9+O9</f>
        <v>288</v>
      </c>
      <c r="Q9" s="25" t="n">
        <f aca="false">ROUND(-[1]03YTD!U$72,0)</f>
        <v>9974</v>
      </c>
      <c r="R9" s="25" t="n">
        <f aca="false">ROUND(-[1]03YTD!V$72,0)</f>
        <v>-0</v>
      </c>
    </row>
    <row r="10" customFormat="false" ht="10.5" hidden="false" customHeight="true" outlineLevel="4" collapsed="false">
      <c r="A10" s="18" t="s">
        <v>42</v>
      </c>
      <c r="B10" s="14"/>
      <c r="C10" s="14"/>
      <c r="D10" s="23" t="n">
        <f aca="false">SUM(F10:O10)+SUM(Q10:R10)</f>
        <v>92981</v>
      </c>
      <c r="E10" s="10"/>
      <c r="F10" s="23" t="n">
        <f aca="false">F8+F9</f>
        <v>53067</v>
      </c>
      <c r="G10" s="23" t="n">
        <f aca="false">G8+G9</f>
        <v>14485</v>
      </c>
      <c r="H10" s="23" t="n">
        <f aca="false">H8+H9</f>
        <v>6279</v>
      </c>
      <c r="I10" s="23" t="n">
        <f aca="false">I8+I9</f>
        <v>1731</v>
      </c>
      <c r="J10" s="23" t="n">
        <f aca="false">J8+J9</f>
        <v>-141</v>
      </c>
      <c r="K10" s="23" t="n">
        <f aca="false">K8+K9</f>
        <v>9</v>
      </c>
      <c r="L10" s="23" t="n">
        <f aca="false">L8+L9</f>
        <v>1154</v>
      </c>
      <c r="M10" s="23" t="n">
        <f aca="false">M8+M9</f>
        <v>-191</v>
      </c>
      <c r="N10" s="23" t="n">
        <f aca="false">N8+N9</f>
        <v>2697</v>
      </c>
      <c r="O10" s="23" t="n">
        <f aca="false">O8+O9</f>
        <v>5</v>
      </c>
      <c r="P10" s="23" t="n">
        <f aca="false">N10+O10</f>
        <v>2702</v>
      </c>
      <c r="Q10" s="23" t="n">
        <f aca="false">Q8+Q9</f>
        <v>13886</v>
      </c>
      <c r="R10" s="23" t="n">
        <f aca="false">R8+R9</f>
        <v>0</v>
      </c>
    </row>
    <row r="11" customFormat="false" ht="9.95" hidden="false" customHeight="true" outlineLevel="4" collapsed="false">
      <c r="A11" s="26" t="s">
        <v>43</v>
      </c>
      <c r="B11" s="14"/>
      <c r="C11" s="14"/>
      <c r="D11" s="23" t="n">
        <f aca="false">SUM(F11:O11)+SUM(Q11:R11)</f>
        <v>16710</v>
      </c>
      <c r="E11" s="10"/>
      <c r="F11" s="23" t="n">
        <f aca="false">ROUND([1]03YTD!I$36,0)</f>
        <v>11877</v>
      </c>
      <c r="G11" s="23" t="n">
        <f aca="false">ROUND([1]03YTD!J$36,0)</f>
        <v>4581</v>
      </c>
      <c r="H11" s="23" t="n">
        <f aca="false">ROUND([1]03YTD!K$36,0)</f>
        <v>0</v>
      </c>
      <c r="I11" s="23" t="n">
        <f aca="false">ROUND([1]03YTD!L$36,0)</f>
        <v>0</v>
      </c>
      <c r="J11" s="23" t="n">
        <f aca="false">ROUND([1]03YTD!M$36,0)</f>
        <v>192</v>
      </c>
      <c r="K11" s="23" t="n">
        <f aca="false">ROUND([1]03YTD!N$36,0)</f>
        <v>0</v>
      </c>
      <c r="L11" s="23" t="n">
        <f aca="false">ROUND([1]03YTD!O$36,0)</f>
        <v>0</v>
      </c>
      <c r="M11" s="23" t="n">
        <f aca="false">ROUND([1]03YTD!P$36,0)</f>
        <v>0</v>
      </c>
      <c r="N11" s="23" t="n">
        <f aca="false">ROUND([1]03YTD!Q$36,0)</f>
        <v>33</v>
      </c>
      <c r="O11" s="23" t="n">
        <f aca="false">ROUND([1]03YTD!R$36,0)</f>
        <v>27</v>
      </c>
      <c r="P11" s="23" t="n">
        <f aca="false">N11+O11</f>
        <v>60</v>
      </c>
      <c r="Q11" s="23" t="n">
        <f aca="false">ROUND([1]03YTD!U$36,0)</f>
        <v>0</v>
      </c>
      <c r="R11" s="23" t="n">
        <f aca="false">ROUND([1]03YTD!V$36,0)</f>
        <v>0</v>
      </c>
    </row>
    <row r="12" customFormat="false" ht="9.95" hidden="false" customHeight="true" outlineLevel="4" collapsed="false">
      <c r="A12" s="26" t="s">
        <v>44</v>
      </c>
      <c r="B12" s="14"/>
      <c r="C12" s="14"/>
      <c r="D12" s="27" t="n">
        <f aca="false">SUM(F12:O12)+SUM(Q12:R12)</f>
        <v>0</v>
      </c>
      <c r="E12" s="10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 t="n">
        <f aca="false">N12+O12</f>
        <v>0</v>
      </c>
      <c r="Q12" s="27"/>
      <c r="R12" s="27"/>
    </row>
    <row r="13" customFormat="false" ht="9.95" hidden="false" customHeight="true" outlineLevel="4" collapsed="false">
      <c r="A13" s="26" t="s">
        <v>45</v>
      </c>
      <c r="B13" s="14"/>
      <c r="C13" s="14"/>
      <c r="D13" s="23" t="n">
        <f aca="false">SUM(F13:O13)+SUM(Q13:R13)</f>
        <v>-4544</v>
      </c>
      <c r="E13" s="24"/>
      <c r="F13" s="23" t="n">
        <f aca="false">ROUND([1]03YTD!I$62,0)</f>
        <v>-2274</v>
      </c>
      <c r="G13" s="23" t="n">
        <f aca="false">ROUND([1]03YTD!J$62,0)</f>
        <v>542</v>
      </c>
      <c r="H13" s="23" t="n">
        <f aca="false">ROUND([1]03YTD!K$62,0)</f>
        <v>0</v>
      </c>
      <c r="I13" s="23" t="n">
        <f aca="false">ROUND([1]03YTD!L$62,0)</f>
        <v>470</v>
      </c>
      <c r="J13" s="23" t="n">
        <f aca="false">ROUND([1]03YTD!M$62,0)</f>
        <v>-53</v>
      </c>
      <c r="K13" s="23" t="n">
        <f aca="false">ROUND([1]03YTD!N$62,0)</f>
        <v>0</v>
      </c>
      <c r="L13" s="23" t="n">
        <f aca="false">ROUND([1]03YTD!O$62,0)</f>
        <v>-12</v>
      </c>
      <c r="M13" s="23" t="n">
        <f aca="false">ROUND([1]03YTD!P$62,0)</f>
        <v>-2</v>
      </c>
      <c r="N13" s="23" t="n">
        <f aca="false">ROUND([1]03YTD!Q$62,0)</f>
        <v>-2771</v>
      </c>
      <c r="O13" s="23" t="n">
        <f aca="false">ROUND([1]03YTD!R$62,0)</f>
        <v>-9</v>
      </c>
      <c r="P13" s="23" t="n">
        <f aca="false">N13+O13</f>
        <v>-2780</v>
      </c>
      <c r="Q13" s="23" t="n">
        <f aca="false">ROUND([1]03YTD!U$62,0)</f>
        <v>-435</v>
      </c>
      <c r="R13" s="23" t="n">
        <f aca="false">ROUND([1]03YTD!V$62,0)</f>
        <v>0</v>
      </c>
    </row>
    <row r="14" customFormat="false" ht="9.95" hidden="false" customHeight="true" outlineLevel="4" collapsed="false">
      <c r="A14" s="26" t="s">
        <v>46</v>
      </c>
      <c r="B14" s="14"/>
      <c r="C14" s="14"/>
      <c r="D14" s="27" t="n">
        <f aca="false">SUM(F14:O14)+SUM(Q14:R14)</f>
        <v>0</v>
      </c>
      <c r="E14" s="10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 t="n">
        <f aca="false">N14+O14</f>
        <v>0</v>
      </c>
      <c r="Q14" s="27"/>
      <c r="R14" s="27"/>
    </row>
    <row r="15" customFormat="false" ht="9.95" hidden="false" customHeight="true" outlineLevel="4" collapsed="false">
      <c r="A15" s="18" t="s">
        <v>47</v>
      </c>
      <c r="B15" s="14"/>
      <c r="C15" s="14"/>
      <c r="D15" s="23" t="n">
        <f aca="false">SUM(F15:O15)+SUM(Q15:R15)</f>
        <v>-722</v>
      </c>
      <c r="E15" s="24"/>
      <c r="F15" s="23" t="n">
        <f aca="false">ROUND([1]03YTD!I$46,0)*-1</f>
        <v>-722</v>
      </c>
      <c r="G15" s="23" t="n">
        <f aca="false">ROUND([1]03YTD!J$46,0)*-1</f>
        <v>-0</v>
      </c>
      <c r="H15" s="23" t="n">
        <f aca="false">ROUND([1]03YTD!K$46,0)*-1</f>
        <v>-0</v>
      </c>
      <c r="I15" s="23" t="n">
        <f aca="false">ROUND([1]03YTD!L$46,0)*-1</f>
        <v>-0</v>
      </c>
      <c r="J15" s="23" t="n">
        <f aca="false">ROUND([1]03YTD!M$46,0)*-1</f>
        <v>-0</v>
      </c>
      <c r="K15" s="23" t="n">
        <f aca="false">ROUND([1]03YTD!N$46,0)*-1</f>
        <v>-0</v>
      </c>
      <c r="L15" s="23" t="n">
        <f aca="false">ROUND([1]03YTD!O$46,0)*-1</f>
        <v>-0</v>
      </c>
      <c r="M15" s="23" t="n">
        <f aca="false">ROUND([1]03YTD!P$46,0)*-1</f>
        <v>-0</v>
      </c>
      <c r="N15" s="23" t="n">
        <f aca="false">ROUND([1]03YTD!Q$46,0)*-1</f>
        <v>-0</v>
      </c>
      <c r="O15" s="23" t="n">
        <f aca="false">ROUND([1]03YTD!R$46,0)*-1</f>
        <v>-0</v>
      </c>
      <c r="P15" s="23" t="n">
        <f aca="false">N15+O15</f>
        <v>-0</v>
      </c>
      <c r="Q15" s="23" t="n">
        <f aca="false">ROUND([1]03YTD!U$46,0)*-1</f>
        <v>-0</v>
      </c>
      <c r="R15" s="23" t="n">
        <f aca="false">ROUND([1]03YTD!V$46,0)*-1</f>
        <v>-0</v>
      </c>
    </row>
    <row r="16" customFormat="false" ht="9.95" hidden="false" customHeight="true" outlineLevel="4" collapsed="false">
      <c r="A16" s="18" t="s">
        <v>48</v>
      </c>
      <c r="B16" s="14"/>
      <c r="C16" s="14"/>
      <c r="D16" s="27" t="n">
        <f aca="false">SUM(F16:O16)+SUM(Q16:R16)</f>
        <v>0</v>
      </c>
      <c r="E16" s="10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 t="n">
        <f aca="false">N16+O16</f>
        <v>0</v>
      </c>
      <c r="Q16" s="27"/>
      <c r="R16" s="27"/>
    </row>
    <row r="17" customFormat="false" ht="9.95" hidden="false" customHeight="true" outlineLevel="4" collapsed="false">
      <c r="A17" s="26" t="s">
        <v>49</v>
      </c>
      <c r="B17" s="14"/>
      <c r="C17" s="14"/>
      <c r="D17" s="27" t="n">
        <f aca="false">SUM(F17:O17)+SUM(Q17:R17)</f>
        <v>0</v>
      </c>
      <c r="E17" s="10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 t="n">
        <f aca="false">N17+O17</f>
        <v>0</v>
      </c>
      <c r="Q17" s="27"/>
      <c r="R17" s="27"/>
    </row>
    <row r="18" customFormat="false" ht="9" hidden="false" customHeight="true" outlineLevel="4" collapsed="false">
      <c r="A18" s="18" t="s">
        <v>50</v>
      </c>
      <c r="B18" s="14"/>
      <c r="C18" s="14"/>
      <c r="D18" s="27" t="n">
        <f aca="false">SUM(F18:O18)+SUM(Q18:R18)</f>
        <v>0</v>
      </c>
      <c r="E18" s="10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 t="n">
        <f aca="false">N18+O18</f>
        <v>0</v>
      </c>
      <c r="Q18" s="27"/>
      <c r="R18" s="27"/>
    </row>
    <row r="19" customFormat="false" ht="9.95" hidden="false" customHeight="true" outlineLevel="4" collapsed="false">
      <c r="A19" s="18" t="s">
        <v>51</v>
      </c>
      <c r="B19" s="14"/>
      <c r="C19" s="14"/>
      <c r="D19" s="23" t="n">
        <f aca="false">SUM(F19:O19)+SUM(Q19:R19)</f>
        <v>-8116</v>
      </c>
      <c r="E19" s="24"/>
      <c r="F19" s="23" t="n">
        <f aca="false">ROUND(-[1]03YTD!I$43,0)</f>
        <v>-7</v>
      </c>
      <c r="G19" s="23" t="n">
        <f aca="false">ROUND(-[1]03YTD!J$43,0)</f>
        <v>-0</v>
      </c>
      <c r="H19" s="23" t="n">
        <f aca="false">ROUND(-[1]03YTD!K$43,0)</f>
        <v>-6265</v>
      </c>
      <c r="I19" s="23" t="n">
        <f aca="false">ROUND(-[1]03YTD!L$43,0)</f>
        <v>-1844</v>
      </c>
      <c r="J19" s="23" t="n">
        <f aca="false">ROUND(-[1]03YTD!M$43,0)</f>
        <v>-0</v>
      </c>
      <c r="K19" s="23" t="n">
        <f aca="false">ROUND(-[1]03YTD!N$43,0)</f>
        <v>-0</v>
      </c>
      <c r="L19" s="23" t="n">
        <f aca="false">ROUND(-[1]03YTD!O$43,0)</f>
        <v>-0</v>
      </c>
      <c r="M19" s="23" t="n">
        <f aca="false">ROUND(-[1]03YTD!P$43,0)</f>
        <v>-0</v>
      </c>
      <c r="N19" s="23" t="n">
        <f aca="false">ROUND(-[1]03YTD!Q$43,0)</f>
        <v>-0</v>
      </c>
      <c r="O19" s="23" t="n">
        <f aca="false">ROUND(-[1]03YTD!R$43,0)</f>
        <v>-0</v>
      </c>
      <c r="P19" s="23" t="n">
        <f aca="false">N19+O19</f>
        <v>-0</v>
      </c>
      <c r="Q19" s="23" t="n">
        <f aca="false">ROUND(-[1]03YTD!U$43,0)</f>
        <v>-0</v>
      </c>
      <c r="R19" s="23" t="n">
        <f aca="false">ROUND(-[1]03YTD!V$43,0)</f>
        <v>-0</v>
      </c>
    </row>
    <row r="20" customFormat="false" ht="9.95" hidden="false" customHeight="true" outlineLevel="4" collapsed="false">
      <c r="A20" s="18" t="s">
        <v>52</v>
      </c>
      <c r="B20" s="14"/>
      <c r="C20" s="14"/>
      <c r="D20" s="28" t="n">
        <f aca="false">SUM(F20:O20)+SUM(Q20:R20)</f>
        <v>1324</v>
      </c>
      <c r="E20" s="10"/>
      <c r="F20" s="28" t="n">
        <v>700</v>
      </c>
      <c r="G20" s="28"/>
      <c r="H20" s="28"/>
      <c r="I20" s="28" t="n">
        <v>624</v>
      </c>
      <c r="J20" s="28"/>
      <c r="K20" s="28"/>
      <c r="L20" s="28"/>
      <c r="M20" s="28"/>
      <c r="N20" s="28"/>
      <c r="O20" s="28"/>
      <c r="P20" s="28" t="n">
        <f aca="false">N20+O20</f>
        <v>0</v>
      </c>
      <c r="Q20" s="28"/>
      <c r="R20" s="28"/>
    </row>
    <row r="21" customFormat="false" ht="9.95" hidden="false" customHeight="true" outlineLevel="4" collapsed="false">
      <c r="A21" s="18" t="s">
        <v>53</v>
      </c>
      <c r="B21" s="14"/>
      <c r="C21" s="14"/>
      <c r="D21" s="29" t="n">
        <f aca="false">SUM(F21:O21)+SUM(Q21:R21)</f>
        <v>15141</v>
      </c>
      <c r="E21" s="10"/>
      <c r="F21" s="29" t="n">
        <f aca="false">10300+186-64+7+1-2519</f>
        <v>7911</v>
      </c>
      <c r="G21" s="29" t="n">
        <f aca="false">2013+322+1043-1</f>
        <v>3377</v>
      </c>
      <c r="H21" s="29" t="n">
        <f aca="false">-1787+1787</f>
        <v>0</v>
      </c>
      <c r="I21" s="29" t="n">
        <v>-2</v>
      </c>
      <c r="J21" s="29" t="n">
        <f aca="false">-10089-11+22442-20054+9</f>
        <v>-7703</v>
      </c>
      <c r="K21" s="29" t="n">
        <v>10</v>
      </c>
      <c r="L21" s="29" t="n">
        <f aca="false">44-356</f>
        <v>-312</v>
      </c>
      <c r="M21" s="29" t="n">
        <f aca="false">6-15</f>
        <v>-9</v>
      </c>
      <c r="N21" s="29" t="n">
        <f aca="false">992-2502</f>
        <v>-1510</v>
      </c>
      <c r="O21" s="29" t="n">
        <v>1290</v>
      </c>
      <c r="P21" s="29" t="n">
        <f aca="false">N21+O21</f>
        <v>-220</v>
      </c>
      <c r="Q21" s="29" t="n">
        <f aca="false">14028-1787</f>
        <v>12241</v>
      </c>
      <c r="R21" s="29" t="n">
        <v>-152</v>
      </c>
    </row>
    <row r="22" customFormat="false" ht="9.95" hidden="false" customHeight="true" outlineLevel="4" collapsed="false">
      <c r="A22" s="18" t="s">
        <v>54</v>
      </c>
      <c r="B22" s="14"/>
      <c r="C22" s="14"/>
      <c r="D22" s="30" t="n">
        <f aca="false">SUM(F22:O22)+SUM(Q22:R22)</f>
        <v>112774</v>
      </c>
      <c r="E22" s="10"/>
      <c r="F22" s="30" t="n">
        <f aca="false">SUM(F10:F21)</f>
        <v>70552</v>
      </c>
      <c r="G22" s="30" t="n">
        <f aca="false">SUM(G10:G21)</f>
        <v>22985</v>
      </c>
      <c r="H22" s="30" t="n">
        <f aca="false">SUM(H10:H21)</f>
        <v>14</v>
      </c>
      <c r="I22" s="30" t="n">
        <f aca="false">SUM(I10:I21)</f>
        <v>979</v>
      </c>
      <c r="J22" s="30" t="n">
        <f aca="false">SUM(J10:J21)</f>
        <v>-7705</v>
      </c>
      <c r="K22" s="30" t="n">
        <f aca="false">SUM(K10:K21)</f>
        <v>19</v>
      </c>
      <c r="L22" s="30" t="n">
        <f aca="false">SUM(L10:L21)</f>
        <v>830</v>
      </c>
      <c r="M22" s="30" t="n">
        <f aca="false">SUM(M10:M21)</f>
        <v>-202</v>
      </c>
      <c r="N22" s="30" t="n">
        <f aca="false">SUM(N10:N21)</f>
        <v>-1551</v>
      </c>
      <c r="O22" s="30" t="n">
        <f aca="false">SUM(O10:O21)</f>
        <v>1313</v>
      </c>
      <c r="P22" s="30" t="n">
        <f aca="false">N22+O22</f>
        <v>-238</v>
      </c>
      <c r="Q22" s="30" t="n">
        <f aca="false">SUM(Q10:Q21)</f>
        <v>25692</v>
      </c>
      <c r="R22" s="30" t="n">
        <f aca="false">SUM(R10:R21)</f>
        <v>-152</v>
      </c>
    </row>
    <row r="23" customFormat="false" ht="11.25" hidden="false" customHeight="false" outlineLevel="4" collapsed="false">
      <c r="A23" s="26" t="s">
        <v>55</v>
      </c>
      <c r="B23" s="14"/>
      <c r="C23" s="14"/>
      <c r="D23" s="7" t="n">
        <f aca="false">SUM(F23:O23)+SUM(Q23:R23)</f>
        <v>0</v>
      </c>
      <c r="E23" s="10"/>
      <c r="F23" s="7"/>
      <c r="G23" s="7"/>
      <c r="H23" s="7"/>
      <c r="I23" s="7"/>
      <c r="J23" s="7"/>
      <c r="K23" s="7"/>
      <c r="L23" s="7"/>
      <c r="M23" s="7"/>
      <c r="N23" s="7"/>
      <c r="O23" s="7"/>
      <c r="P23" s="7" t="n">
        <f aca="false">N23+O23</f>
        <v>0</v>
      </c>
      <c r="Q23" s="7"/>
      <c r="R23" s="7"/>
    </row>
    <row r="24" customFormat="false" ht="9.6" hidden="false" customHeight="true" outlineLevel="4" collapsed="false">
      <c r="A24" s="26" t="s">
        <v>56</v>
      </c>
      <c r="B24" s="14"/>
      <c r="C24" s="14"/>
      <c r="D24" s="27" t="n">
        <f aca="false">SUM(F24:O24)+SUM(Q24:R24)</f>
        <v>-783</v>
      </c>
      <c r="E24" s="10"/>
      <c r="F24" s="27" t="n">
        <v>1819</v>
      </c>
      <c r="G24" s="27" t="n">
        <v>-3182</v>
      </c>
      <c r="H24" s="27"/>
      <c r="I24" s="27" t="n">
        <v>1</v>
      </c>
      <c r="J24" s="27" t="n">
        <v>-8</v>
      </c>
      <c r="K24" s="27"/>
      <c r="L24" s="27" t="n">
        <v>358</v>
      </c>
      <c r="M24" s="27"/>
      <c r="N24" s="27"/>
      <c r="O24" s="27"/>
      <c r="P24" s="27" t="n">
        <f aca="false">N24+O24</f>
        <v>0</v>
      </c>
      <c r="Q24" s="27" t="n">
        <v>-5</v>
      </c>
      <c r="R24" s="27" t="n">
        <v>234</v>
      </c>
    </row>
    <row r="25" customFormat="false" ht="9.6" hidden="false" customHeight="true" outlineLevel="4" collapsed="false">
      <c r="A25" s="26" t="s">
        <v>57</v>
      </c>
      <c r="B25" s="14"/>
      <c r="C25" s="14"/>
      <c r="D25" s="27" t="n">
        <f aca="false">SUM(F25:O25)+SUM(Q25:R25)</f>
        <v>-46</v>
      </c>
      <c r="E25" s="10"/>
      <c r="F25" s="27" t="n">
        <v>1482</v>
      </c>
      <c r="G25" s="27" t="n">
        <v>-1528</v>
      </c>
      <c r="H25" s="27"/>
      <c r="I25" s="27"/>
      <c r="J25" s="27"/>
      <c r="K25" s="27"/>
      <c r="L25" s="27"/>
      <c r="M25" s="27"/>
      <c r="N25" s="27"/>
      <c r="O25" s="27"/>
      <c r="P25" s="27" t="n">
        <f aca="false">N25+O25</f>
        <v>0</v>
      </c>
      <c r="Q25" s="27"/>
      <c r="R25" s="27"/>
    </row>
    <row r="26" customFormat="false" ht="9.6" hidden="false" customHeight="true" outlineLevel="4" collapsed="false">
      <c r="A26" s="26" t="s">
        <v>58</v>
      </c>
      <c r="B26" s="14"/>
      <c r="C26" s="14"/>
      <c r="D26" s="27" t="n">
        <f aca="false">SUM(F26:O26)+SUM(Q26:R26)</f>
        <v>-2452</v>
      </c>
      <c r="E26" s="10"/>
      <c r="F26" s="27" t="n">
        <v>-19</v>
      </c>
      <c r="G26" s="27" t="n">
        <v>-188</v>
      </c>
      <c r="H26" s="27"/>
      <c r="I26" s="27" t="n">
        <f aca="false">4-11</f>
        <v>-7</v>
      </c>
      <c r="J26" s="27" t="n">
        <v>17</v>
      </c>
      <c r="K26" s="27" t="n">
        <f aca="false">138-234</f>
        <v>-96</v>
      </c>
      <c r="L26" s="27" t="n">
        <f aca="false">473+704</f>
        <v>1177</v>
      </c>
      <c r="M26" s="27" t="n">
        <f aca="false">359-470</f>
        <v>-111</v>
      </c>
      <c r="N26" s="27" t="n">
        <v>-72933</v>
      </c>
      <c r="O26" s="27" t="n">
        <v>72926</v>
      </c>
      <c r="P26" s="27" t="n">
        <f aca="false">N26+O26</f>
        <v>-7</v>
      </c>
      <c r="Q26" s="27" t="n">
        <v>-3218</v>
      </c>
      <c r="R26" s="27"/>
    </row>
    <row r="27" customFormat="false" ht="9.6" hidden="false" customHeight="true" outlineLevel="4" collapsed="false">
      <c r="A27" s="26" t="s">
        <v>59</v>
      </c>
      <c r="B27" s="14"/>
      <c r="C27" s="14"/>
      <c r="D27" s="27" t="n">
        <f aca="false">SUM(F27:O27)+SUM(Q27:R27)</f>
        <v>0</v>
      </c>
      <c r="E27" s="10"/>
      <c r="F27" s="27" t="n">
        <v>0</v>
      </c>
      <c r="G27" s="27"/>
      <c r="H27" s="27"/>
      <c r="I27" s="27"/>
      <c r="J27" s="27"/>
      <c r="K27" s="27"/>
      <c r="L27" s="27"/>
      <c r="M27" s="27"/>
      <c r="N27" s="27"/>
      <c r="O27" s="27"/>
      <c r="P27" s="27" t="n">
        <f aca="false">N27+O27</f>
        <v>0</v>
      </c>
      <c r="Q27" s="27"/>
      <c r="R27" s="27"/>
    </row>
    <row r="28" customFormat="false" ht="9.6" hidden="false" customHeight="true" outlineLevel="4" collapsed="false">
      <c r="A28" s="26" t="s">
        <v>60</v>
      </c>
      <c r="B28" s="14"/>
      <c r="C28" s="14"/>
      <c r="D28" s="27" t="n">
        <f aca="false">SUM(F28:O28)+SUM(Q28:R28)</f>
        <v>146</v>
      </c>
      <c r="E28" s="10"/>
      <c r="F28" s="27" t="n">
        <v>159</v>
      </c>
      <c r="G28" s="27" t="n">
        <v>-13</v>
      </c>
      <c r="H28" s="27"/>
      <c r="I28" s="27"/>
      <c r="J28" s="27"/>
      <c r="K28" s="27"/>
      <c r="L28" s="27"/>
      <c r="M28" s="27"/>
      <c r="N28" s="27"/>
      <c r="O28" s="27"/>
      <c r="P28" s="27" t="n">
        <f aca="false">N28+O28</f>
        <v>0</v>
      </c>
      <c r="Q28" s="27"/>
      <c r="R28" s="27"/>
    </row>
    <row r="29" customFormat="false" ht="9.6" hidden="false" customHeight="true" outlineLevel="4" collapsed="false">
      <c r="A29" s="26" t="s">
        <v>61</v>
      </c>
      <c r="B29" s="14"/>
      <c r="C29" s="14"/>
      <c r="D29" s="27" t="n">
        <f aca="false">SUM(F29:O29)+SUM(Q29:R29)</f>
        <v>308</v>
      </c>
      <c r="E29" s="10"/>
      <c r="F29" s="27" t="n">
        <v>275</v>
      </c>
      <c r="G29" s="27" t="n">
        <v>42</v>
      </c>
      <c r="H29" s="27"/>
      <c r="I29" s="27" t="n">
        <v>-9</v>
      </c>
      <c r="J29" s="27"/>
      <c r="K29" s="27"/>
      <c r="L29" s="27"/>
      <c r="M29" s="27"/>
      <c r="N29" s="27"/>
      <c r="O29" s="27"/>
      <c r="P29" s="27" t="n">
        <f aca="false">N29+O29</f>
        <v>0</v>
      </c>
      <c r="Q29" s="27"/>
      <c r="R29" s="27"/>
    </row>
    <row r="30" customFormat="false" ht="9.6" hidden="false" customHeight="true" outlineLevel="4" collapsed="false">
      <c r="A30" s="26" t="s">
        <v>62</v>
      </c>
      <c r="B30" s="14"/>
      <c r="C30" s="14"/>
      <c r="D30" s="27" t="n">
        <f aca="false">SUM(F30:O30)+SUM(Q30:R30)</f>
        <v>-22630</v>
      </c>
      <c r="E30" s="10"/>
      <c r="F30" s="27" t="n">
        <v>-13695</v>
      </c>
      <c r="G30" s="27" t="n">
        <v>-2887</v>
      </c>
      <c r="H30" s="27"/>
      <c r="I30" s="27" t="n">
        <v>-12</v>
      </c>
      <c r="J30" s="27" t="n">
        <v>-3067</v>
      </c>
      <c r="K30" s="27"/>
      <c r="L30" s="27" t="n">
        <v>-1638</v>
      </c>
      <c r="M30" s="27"/>
      <c r="N30" s="27" t="n">
        <v>-231</v>
      </c>
      <c r="O30" s="27"/>
      <c r="P30" s="27" t="n">
        <f aca="false">N30+O30</f>
        <v>-231</v>
      </c>
      <c r="Q30" s="27" t="n">
        <v>-891</v>
      </c>
      <c r="R30" s="27" t="n">
        <v>-209</v>
      </c>
    </row>
    <row r="31" customFormat="false" ht="9.6" hidden="false" customHeight="true" outlineLevel="4" collapsed="false">
      <c r="A31" s="26" t="s">
        <v>63</v>
      </c>
      <c r="B31" s="14"/>
      <c r="C31" s="14"/>
      <c r="D31" s="27" t="n">
        <f aca="false">SUM(F31:O31)+SUM(Q31:R31)</f>
        <v>0</v>
      </c>
      <c r="E31" s="10"/>
      <c r="F31" s="27"/>
      <c r="G31" s="27" t="n">
        <v>0</v>
      </c>
      <c r="H31" s="27"/>
      <c r="I31" s="27"/>
      <c r="J31" s="27"/>
      <c r="K31" s="27"/>
      <c r="L31" s="27"/>
      <c r="M31" s="27"/>
      <c r="N31" s="27"/>
      <c r="O31" s="27"/>
      <c r="P31" s="27" t="n">
        <f aca="false">N31+O31</f>
        <v>0</v>
      </c>
      <c r="Q31" s="27"/>
      <c r="R31" s="27"/>
    </row>
    <row r="32" customFormat="false" ht="9.6" hidden="false" customHeight="true" outlineLevel="4" collapsed="false">
      <c r="A32" s="26" t="s">
        <v>64</v>
      </c>
      <c r="B32" s="14"/>
      <c r="C32" s="14"/>
      <c r="D32" s="27" t="n">
        <f aca="false">SUM(F32:O32)+SUM(Q32:R32)</f>
        <v>3025</v>
      </c>
      <c r="E32" s="10"/>
      <c r="F32" s="27" t="n">
        <v>1619</v>
      </c>
      <c r="G32" s="27" t="n">
        <v>1316</v>
      </c>
      <c r="H32" s="27"/>
      <c r="I32" s="27"/>
      <c r="J32" s="27" t="n">
        <v>-85</v>
      </c>
      <c r="K32" s="27" t="n">
        <v>-2</v>
      </c>
      <c r="L32" s="27"/>
      <c r="M32" s="27" t="n">
        <v>-1</v>
      </c>
      <c r="N32" s="27" t="n">
        <v>168</v>
      </c>
      <c r="O32" s="27" t="n">
        <v>10</v>
      </c>
      <c r="P32" s="27" t="n">
        <f aca="false">N32+O32</f>
        <v>178</v>
      </c>
      <c r="Q32" s="27"/>
      <c r="R32" s="27"/>
    </row>
    <row r="33" customFormat="false" ht="9.6" hidden="false" customHeight="true" outlineLevel="4" collapsed="false">
      <c r="A33" s="26" t="s">
        <v>65</v>
      </c>
      <c r="B33" s="14"/>
      <c r="C33" s="14"/>
      <c r="D33" s="28" t="n">
        <f aca="false">SUM(F33:O33)+SUM(Q33:R33)</f>
        <v>3044</v>
      </c>
      <c r="E33" s="10"/>
      <c r="F33" s="28" t="n">
        <v>3878</v>
      </c>
      <c r="G33" s="28" t="n">
        <v>-832</v>
      </c>
      <c r="H33" s="28"/>
      <c r="I33" s="28"/>
      <c r="J33" s="28"/>
      <c r="K33" s="28"/>
      <c r="L33" s="28" t="n">
        <v>-2</v>
      </c>
      <c r="M33" s="28"/>
      <c r="N33" s="28"/>
      <c r="O33" s="28"/>
      <c r="P33" s="28" t="n">
        <f aca="false">N33+O33</f>
        <v>0</v>
      </c>
      <c r="Q33" s="28"/>
      <c r="R33" s="28"/>
    </row>
    <row r="34" customFormat="false" ht="9.6" hidden="false" customHeight="true" outlineLevel="4" collapsed="false">
      <c r="A34" s="26" t="s">
        <v>66</v>
      </c>
      <c r="B34" s="14"/>
      <c r="C34" s="14"/>
      <c r="D34" s="29" t="n">
        <f aca="false">SUM(F34:O34)+SUM(Q34:R34)</f>
        <v>-6322</v>
      </c>
      <c r="E34" s="10"/>
      <c r="F34" s="29" t="n">
        <v>-1712</v>
      </c>
      <c r="G34" s="29" t="n">
        <v>-149</v>
      </c>
      <c r="H34" s="29"/>
      <c r="I34" s="29" t="n">
        <v>563</v>
      </c>
      <c r="J34" s="29"/>
      <c r="K34" s="29" t="n">
        <v>0</v>
      </c>
      <c r="L34" s="29" t="n">
        <v>0</v>
      </c>
      <c r="M34" s="29" t="n">
        <v>0</v>
      </c>
      <c r="N34" s="29"/>
      <c r="O34" s="29"/>
      <c r="P34" s="29" t="n">
        <f aca="false">N34+O34</f>
        <v>0</v>
      </c>
      <c r="Q34" s="29" t="n">
        <v>-5024</v>
      </c>
      <c r="R34" s="29"/>
    </row>
    <row r="35" customFormat="false" ht="9.95" hidden="false" customHeight="true" outlineLevel="4" collapsed="false">
      <c r="A35" s="18" t="s">
        <v>67</v>
      </c>
      <c r="B35" s="14"/>
      <c r="C35" s="31"/>
      <c r="D35" s="25" t="n">
        <f aca="false">SUM(F35:O35)+SUM(Q35:R35)</f>
        <v>-25710</v>
      </c>
      <c r="E35" s="10"/>
      <c r="F35" s="25" t="n">
        <f aca="false">SUM(F23:F34)</f>
        <v>-6194</v>
      </c>
      <c r="G35" s="25" t="n">
        <f aca="false">SUM(G23:G34)</f>
        <v>-7421</v>
      </c>
      <c r="H35" s="25" t="n">
        <f aca="false">SUM(H23:H34)</f>
        <v>0</v>
      </c>
      <c r="I35" s="25" t="n">
        <f aca="false">SUM(I23:I34)</f>
        <v>536</v>
      </c>
      <c r="J35" s="25" t="n">
        <f aca="false">SUM(J23:J34)</f>
        <v>-3143</v>
      </c>
      <c r="K35" s="25" t="n">
        <f aca="false">SUM(K23:K34)</f>
        <v>-98</v>
      </c>
      <c r="L35" s="25" t="n">
        <f aca="false">SUM(L23:L34)</f>
        <v>-105</v>
      </c>
      <c r="M35" s="25" t="n">
        <f aca="false">SUM(M23:M34)</f>
        <v>-112</v>
      </c>
      <c r="N35" s="25" t="n">
        <f aca="false">SUM(N23:N34)</f>
        <v>-72996</v>
      </c>
      <c r="O35" s="25" t="n">
        <f aca="false">SUM(O23:O34)</f>
        <v>72936</v>
      </c>
      <c r="P35" s="25" t="n">
        <f aca="false">N35+O35</f>
        <v>-60</v>
      </c>
      <c r="Q35" s="25" t="n">
        <f aca="false">SUM(Q23:Q34)</f>
        <v>-9138</v>
      </c>
      <c r="R35" s="25" t="n">
        <f aca="false">SUM(R23:R34)</f>
        <v>25</v>
      </c>
    </row>
    <row r="36" customFormat="false" ht="12.95" hidden="false" customHeight="true" outlineLevel="3" collapsed="false">
      <c r="A36" s="18" t="s">
        <v>68</v>
      </c>
      <c r="B36" s="14"/>
      <c r="C36" s="14"/>
      <c r="D36" s="32" t="n">
        <f aca="false">SUM(F36:O36)+SUM(Q36:R36)</f>
        <v>87064</v>
      </c>
      <c r="E36" s="10"/>
      <c r="F36" s="32" t="n">
        <f aca="false">F22+F35</f>
        <v>64358</v>
      </c>
      <c r="G36" s="32" t="n">
        <f aca="false">G22+G35</f>
        <v>15564</v>
      </c>
      <c r="H36" s="32" t="n">
        <f aca="false">H22+H35</f>
        <v>14</v>
      </c>
      <c r="I36" s="32" t="n">
        <f aca="false">I22+I35</f>
        <v>1515</v>
      </c>
      <c r="J36" s="32" t="n">
        <f aca="false">J22+J35</f>
        <v>-10848</v>
      </c>
      <c r="K36" s="32" t="n">
        <f aca="false">K22+K35</f>
        <v>-79</v>
      </c>
      <c r="L36" s="32" t="n">
        <f aca="false">L22+L35</f>
        <v>725</v>
      </c>
      <c r="M36" s="32" t="n">
        <f aca="false">M22+M35</f>
        <v>-314</v>
      </c>
      <c r="N36" s="32" t="n">
        <f aca="false">N22+N35</f>
        <v>-74547</v>
      </c>
      <c r="O36" s="32" t="n">
        <f aca="false">O22+O35</f>
        <v>74249</v>
      </c>
      <c r="P36" s="32" t="n">
        <f aca="false">N36+O36</f>
        <v>-298</v>
      </c>
      <c r="Q36" s="32" t="n">
        <f aca="false">Q22+Q35</f>
        <v>16554</v>
      </c>
      <c r="R36" s="32" t="n">
        <f aca="false">R22+R35</f>
        <v>-127</v>
      </c>
    </row>
    <row r="37" customFormat="false" ht="7.5" hidden="false" customHeight="true" outlineLevel="3" collapsed="false">
      <c r="B37" s="14"/>
      <c r="C37" s="14"/>
      <c r="D37" s="5" t="n">
        <f aca="false">SUM(F37:O37)+SUM(Q37:R37)</f>
        <v>0</v>
      </c>
      <c r="E37" s="10"/>
      <c r="P37" s="5" t="n">
        <f aca="false">N37+O37</f>
        <v>0</v>
      </c>
    </row>
    <row r="38" customFormat="false" ht="9" hidden="false" customHeight="true" outlineLevel="3" collapsed="false">
      <c r="A38" s="21" t="s">
        <v>69</v>
      </c>
      <c r="B38" s="14"/>
      <c r="C38" s="14"/>
      <c r="D38" s="5" t="n">
        <f aca="false">SUM(F38:O38)+SUM(Q38:R38)</f>
        <v>0</v>
      </c>
      <c r="E38" s="10"/>
      <c r="P38" s="5" t="n">
        <f aca="false">N38+O38</f>
        <v>0</v>
      </c>
    </row>
    <row r="39" customFormat="false" ht="9.6" hidden="false" customHeight="true" outlineLevel="4" collapsed="false">
      <c r="A39" s="18" t="s">
        <v>70</v>
      </c>
      <c r="B39" s="14"/>
      <c r="C39" s="14"/>
      <c r="D39" s="33" t="n">
        <f aca="false">SUM(F39:O39)+SUM(Q39:R39)</f>
        <v>2519</v>
      </c>
      <c r="E39" s="10"/>
      <c r="F39" s="33" t="n">
        <v>2519</v>
      </c>
      <c r="G39" s="33"/>
      <c r="H39" s="33"/>
      <c r="I39" s="33"/>
      <c r="J39" s="33"/>
      <c r="K39" s="33"/>
      <c r="L39" s="33"/>
      <c r="M39" s="33"/>
      <c r="N39" s="33"/>
      <c r="O39" s="33"/>
      <c r="P39" s="33" t="n">
        <f aca="false">N39+O39</f>
        <v>0</v>
      </c>
      <c r="Q39" s="33"/>
      <c r="R39" s="33"/>
    </row>
    <row r="40" customFormat="false" ht="9.6" hidden="false" customHeight="true" outlineLevel="4" collapsed="false">
      <c r="A40" s="18" t="s">
        <v>71</v>
      </c>
      <c r="B40" s="14"/>
      <c r="C40" s="14"/>
      <c r="D40" s="33" t="n">
        <f aca="false">SUM(F40:O40)+SUM(Q40:R40)</f>
        <v>-25671</v>
      </c>
      <c r="E40" s="10"/>
      <c r="F40" s="33" t="n">
        <f aca="false">-45670-427</f>
        <v>-46097</v>
      </c>
      <c r="G40" s="33" t="n">
        <v>-5078</v>
      </c>
      <c r="H40" s="33"/>
      <c r="I40" s="33"/>
      <c r="J40" s="33" t="n">
        <v>25504</v>
      </c>
      <c r="K40" s="33"/>
      <c r="L40" s="33"/>
      <c r="M40" s="33"/>
      <c r="N40" s="33"/>
      <c r="O40" s="33"/>
      <c r="P40" s="33" t="n">
        <f aca="false">N40+O40</f>
        <v>0</v>
      </c>
      <c r="Q40" s="33"/>
      <c r="R40" s="33"/>
    </row>
    <row r="41" customFormat="false" ht="9.6" hidden="false" customHeight="true" outlineLevel="4" collapsed="false">
      <c r="A41" s="26" t="s">
        <v>72</v>
      </c>
      <c r="B41" s="14"/>
      <c r="C41" s="14"/>
      <c r="D41" s="33" t="n">
        <f aca="false">SUM(F41:O41)+SUM(Q41:R41)</f>
        <v>0</v>
      </c>
      <c r="E41" s="10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 t="n">
        <f aca="false">N41+O41</f>
        <v>0</v>
      </c>
      <c r="Q41" s="33"/>
      <c r="R41" s="33"/>
    </row>
    <row r="42" customFormat="false" ht="9.6" hidden="false" customHeight="true" outlineLevel="4" collapsed="false">
      <c r="A42" s="18" t="s">
        <v>73</v>
      </c>
      <c r="B42" s="14"/>
      <c r="C42" s="14"/>
      <c r="D42" s="33" t="n">
        <f aca="false">SUM(F42:O42)+SUM(Q42:R42)</f>
        <v>0</v>
      </c>
      <c r="E42" s="10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 t="n">
        <f aca="false">N42+O42</f>
        <v>0</v>
      </c>
      <c r="Q42" s="33"/>
      <c r="R42" s="33"/>
    </row>
    <row r="43" customFormat="false" ht="9.6" hidden="false" customHeight="true" outlineLevel="4" collapsed="false">
      <c r="A43" s="18" t="s">
        <v>74</v>
      </c>
      <c r="B43" s="14"/>
      <c r="C43" s="14"/>
      <c r="D43" s="33" t="n">
        <f aca="false">SUM(F43:O43)+SUM(Q43:R43)</f>
        <v>0</v>
      </c>
      <c r="E43" s="10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 t="n">
        <f aca="false">N43+O43</f>
        <v>0</v>
      </c>
      <c r="Q43" s="33"/>
      <c r="R43" s="33"/>
    </row>
    <row r="44" customFormat="false" ht="9.6" hidden="false" customHeight="true" outlineLevel="4" collapsed="false">
      <c r="A44" s="18" t="s">
        <v>75</v>
      </c>
      <c r="B44" s="14"/>
      <c r="C44" s="14"/>
      <c r="D44" s="33" t="n">
        <f aca="false">SUM(F44:O44)+SUM(Q44:R44)</f>
        <v>0</v>
      </c>
      <c r="E44" s="10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 t="n">
        <f aca="false">N44+O44</f>
        <v>0</v>
      </c>
      <c r="Q44" s="33"/>
      <c r="R44" s="33"/>
    </row>
    <row r="45" customFormat="false" ht="9.6" hidden="false" customHeight="true" outlineLevel="4" collapsed="false">
      <c r="A45" s="18" t="s">
        <v>76</v>
      </c>
      <c r="B45" s="14"/>
      <c r="C45" s="14"/>
      <c r="D45" s="33" t="n">
        <f aca="false">SUM(F45:O45)+SUM(Q45:R45)</f>
        <v>0</v>
      </c>
      <c r="E45" s="10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 t="n">
        <f aca="false">N45+O45</f>
        <v>0</v>
      </c>
      <c r="Q45" s="33"/>
      <c r="R45" s="33"/>
    </row>
    <row r="46" customFormat="false" ht="9.6" hidden="false" customHeight="true" outlineLevel="4" collapsed="false">
      <c r="A46" s="18" t="s">
        <v>77</v>
      </c>
      <c r="B46" s="14"/>
      <c r="C46" s="14"/>
      <c r="D46" s="29" t="n">
        <f aca="false">SUM(F46:O46)+SUM(Q46:R46)</f>
        <v>342</v>
      </c>
      <c r="E46" s="10"/>
      <c r="F46" s="29" t="n">
        <v>238</v>
      </c>
      <c r="G46" s="29" t="n">
        <f aca="false">-35+139</f>
        <v>104</v>
      </c>
      <c r="H46" s="29"/>
      <c r="I46" s="29"/>
      <c r="J46" s="29"/>
      <c r="K46" s="29"/>
      <c r="L46" s="29"/>
      <c r="M46" s="29"/>
      <c r="N46" s="29"/>
      <c r="O46" s="29"/>
      <c r="P46" s="29" t="n">
        <f aca="false">N46+O46</f>
        <v>0</v>
      </c>
      <c r="Q46" s="29"/>
      <c r="R46" s="29"/>
    </row>
    <row r="47" customFormat="false" ht="12.95" hidden="false" customHeight="true" outlineLevel="3" collapsed="false">
      <c r="A47" s="18" t="s">
        <v>78</v>
      </c>
      <c r="B47" s="14"/>
      <c r="C47" s="14"/>
      <c r="D47" s="32" t="n">
        <f aca="false">SUM(F47:O47)+SUM(Q47:R47)</f>
        <v>-22810</v>
      </c>
      <c r="E47" s="10"/>
      <c r="F47" s="32" t="n">
        <f aca="false">SUM(F39:F46)</f>
        <v>-43340</v>
      </c>
      <c r="G47" s="32" t="n">
        <f aca="false">SUM(G39:G46)</f>
        <v>-4974</v>
      </c>
      <c r="H47" s="32" t="n">
        <f aca="false">SUM(H39:H46)</f>
        <v>0</v>
      </c>
      <c r="I47" s="32" t="n">
        <f aca="false">SUM(I39:I46)</f>
        <v>0</v>
      </c>
      <c r="J47" s="32" t="n">
        <f aca="false">SUM(J39:J46)</f>
        <v>25504</v>
      </c>
      <c r="K47" s="32" t="n">
        <f aca="false">SUM(K39:K46)</f>
        <v>0</v>
      </c>
      <c r="L47" s="32" t="n">
        <f aca="false">SUM(L39:L46)</f>
        <v>0</v>
      </c>
      <c r="M47" s="32" t="n">
        <f aca="false">SUM(M39:M46)</f>
        <v>0</v>
      </c>
      <c r="N47" s="32" t="n">
        <f aca="false">SUM(N39:N46)</f>
        <v>0</v>
      </c>
      <c r="O47" s="32" t="n">
        <f aca="false">SUM(O39:O46)</f>
        <v>0</v>
      </c>
      <c r="P47" s="32" t="n">
        <f aca="false">N47+O47</f>
        <v>0</v>
      </c>
      <c r="Q47" s="32" t="n">
        <f aca="false">SUM(Q39:Q46)</f>
        <v>0</v>
      </c>
      <c r="R47" s="32" t="n">
        <f aca="false">SUM(R39:R46)</f>
        <v>0</v>
      </c>
    </row>
    <row r="48" customFormat="false" ht="9" hidden="false" customHeight="true" outlineLevel="3" collapsed="false">
      <c r="B48" s="14"/>
      <c r="C48" s="14"/>
      <c r="D48" s="5" t="n">
        <f aca="false">SUM(F48:O48)+SUM(Q48:R48)</f>
        <v>0</v>
      </c>
      <c r="E48" s="10"/>
      <c r="P48" s="5" t="n">
        <f aca="false">N48+O48</f>
        <v>0</v>
      </c>
    </row>
    <row r="49" customFormat="false" ht="9" hidden="false" customHeight="true" outlineLevel="3" collapsed="false">
      <c r="A49" s="21" t="s">
        <v>79</v>
      </c>
      <c r="B49" s="14"/>
      <c r="C49" s="14"/>
      <c r="D49" s="5" t="n">
        <f aca="false">SUM(F49:O49)+SUM(Q49:R49)</f>
        <v>0</v>
      </c>
      <c r="E49" s="10"/>
      <c r="P49" s="5" t="n">
        <f aca="false">N49+O49</f>
        <v>0</v>
      </c>
    </row>
    <row r="50" customFormat="false" ht="9.6" hidden="false" customHeight="true" outlineLevel="4" collapsed="false">
      <c r="A50" s="18" t="s">
        <v>80</v>
      </c>
      <c r="B50" s="14"/>
      <c r="C50" s="14"/>
      <c r="D50" s="27" t="n">
        <f aca="false">SUM(F50:O50)+SUM(Q50:R50)</f>
        <v>0</v>
      </c>
      <c r="E50" s="10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 t="n">
        <f aca="false">N50+O50</f>
        <v>0</v>
      </c>
      <c r="Q50" s="27"/>
      <c r="R50" s="27"/>
    </row>
    <row r="51" customFormat="false" ht="9.6" hidden="false" customHeight="true" outlineLevel="4" collapsed="false">
      <c r="A51" s="18" t="s">
        <v>81</v>
      </c>
      <c r="B51" s="14"/>
      <c r="C51" s="14"/>
      <c r="D51" s="27" t="n">
        <f aca="false">SUM(F51:O51)+SUM(Q51:R51)</f>
        <v>20</v>
      </c>
      <c r="E51" s="10"/>
      <c r="F51" s="27" t="n">
        <v>20</v>
      </c>
      <c r="G51" s="27"/>
      <c r="H51" s="27"/>
      <c r="I51" s="27"/>
      <c r="J51" s="27"/>
      <c r="K51" s="27"/>
      <c r="L51" s="27"/>
      <c r="M51" s="27"/>
      <c r="N51" s="27"/>
      <c r="O51" s="27"/>
      <c r="P51" s="27" t="n">
        <f aca="false">N51+O51</f>
        <v>0</v>
      </c>
      <c r="Q51" s="27"/>
      <c r="R51" s="27"/>
    </row>
    <row r="52" customFormat="false" ht="9.6" hidden="false" customHeight="true" outlineLevel="4" collapsed="false">
      <c r="A52" s="18" t="s">
        <v>82</v>
      </c>
      <c r="B52" s="14"/>
      <c r="C52" s="14"/>
      <c r="D52" s="27" t="n">
        <f aca="false">SUM(F52:O52)+SUM(Q52:R52)</f>
        <v>-700</v>
      </c>
      <c r="E52" s="10"/>
      <c r="F52" s="27" t="n">
        <v>-700</v>
      </c>
      <c r="G52" s="27"/>
      <c r="H52" s="27"/>
      <c r="I52" s="27"/>
      <c r="J52" s="27"/>
      <c r="K52" s="27"/>
      <c r="L52" s="27"/>
      <c r="M52" s="27"/>
      <c r="N52" s="27"/>
      <c r="O52" s="27"/>
      <c r="P52" s="27" t="n">
        <f aca="false">N52+O52</f>
        <v>0</v>
      </c>
      <c r="Q52" s="27"/>
      <c r="R52" s="27"/>
    </row>
    <row r="53" customFormat="false" ht="9.6" hidden="false" customHeight="true" outlineLevel="4" collapsed="false">
      <c r="A53" s="18" t="s">
        <v>83</v>
      </c>
      <c r="B53" s="14"/>
      <c r="C53" s="14"/>
      <c r="D53" s="27" t="n">
        <f aca="false">SUM(F53:O53)+SUM(Q53:R53)</f>
        <v>0</v>
      </c>
      <c r="E53" s="10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 t="n">
        <f aca="false">N53+O53</f>
        <v>0</v>
      </c>
      <c r="Q53" s="27"/>
      <c r="R53" s="27"/>
    </row>
    <row r="54" customFormat="false" ht="9.6" hidden="false" customHeight="true" outlineLevel="4" collapsed="false">
      <c r="A54" s="18" t="s">
        <v>84</v>
      </c>
      <c r="B54" s="14"/>
      <c r="C54" s="14"/>
      <c r="D54" s="27" t="n">
        <f aca="false">SUM(F54:O54)+SUM(Q54:R54)</f>
        <v>1500</v>
      </c>
      <c r="E54" s="10"/>
      <c r="F54" s="27" t="n">
        <f aca="false">23942</f>
        <v>23942</v>
      </c>
      <c r="G54" s="27"/>
      <c r="H54" s="27"/>
      <c r="I54" s="27"/>
      <c r="J54" s="27" t="n">
        <v>-22442</v>
      </c>
      <c r="K54" s="27"/>
      <c r="L54" s="27"/>
      <c r="M54" s="27"/>
      <c r="N54" s="27"/>
      <c r="O54" s="27"/>
      <c r="P54" s="27" t="n">
        <f aca="false">N54+O54</f>
        <v>0</v>
      </c>
      <c r="Q54" s="27"/>
      <c r="R54" s="27"/>
    </row>
    <row r="55" customFormat="false" ht="9.6" hidden="false" customHeight="true" outlineLevel="4" collapsed="false">
      <c r="A55" s="18" t="s">
        <v>85</v>
      </c>
      <c r="B55" s="14"/>
      <c r="C55" s="14"/>
      <c r="D55" s="28" t="n">
        <f aca="false">SUM(F55:O55)+SUM(Q55:R55)</f>
        <v>-18552</v>
      </c>
      <c r="E55" s="10"/>
      <c r="F55" s="28"/>
      <c r="G55" s="28"/>
      <c r="H55" s="28"/>
      <c r="I55" s="28"/>
      <c r="J55" s="28"/>
      <c r="K55" s="28"/>
      <c r="L55" s="28"/>
      <c r="M55" s="28"/>
      <c r="N55" s="28" t="n">
        <f aca="false">-11-2491-16050</f>
        <v>-18552</v>
      </c>
      <c r="O55" s="28"/>
      <c r="P55" s="28" t="n">
        <f aca="false">N55+O55</f>
        <v>-18552</v>
      </c>
      <c r="Q55" s="28"/>
      <c r="R55" s="28"/>
    </row>
    <row r="56" customFormat="false" ht="14.1" hidden="false" customHeight="true" outlineLevel="3" collapsed="false">
      <c r="A56" s="18" t="s">
        <v>86</v>
      </c>
      <c r="B56" s="14"/>
      <c r="C56" s="14"/>
      <c r="D56" s="34" t="n">
        <f aca="false">SUM(F56:O56)+SUM(Q56:R56)</f>
        <v>-17732</v>
      </c>
      <c r="E56" s="10"/>
      <c r="F56" s="34" t="n">
        <f aca="false">SUM(F50:F55)</f>
        <v>23262</v>
      </c>
      <c r="G56" s="34" t="n">
        <f aca="false">SUM(G50:G55)</f>
        <v>0</v>
      </c>
      <c r="H56" s="34" t="n">
        <f aca="false">SUM(H50:H55)</f>
        <v>0</v>
      </c>
      <c r="I56" s="34" t="n">
        <f aca="false">SUM(I50:I55)</f>
        <v>0</v>
      </c>
      <c r="J56" s="34" t="n">
        <f aca="false">SUM(J50:J55)</f>
        <v>-22442</v>
      </c>
      <c r="K56" s="34" t="n">
        <f aca="false">SUM(K50:K55)</f>
        <v>0</v>
      </c>
      <c r="L56" s="34" t="n">
        <f aca="false">SUM(L50:L55)</f>
        <v>0</v>
      </c>
      <c r="M56" s="34" t="n">
        <f aca="false">SUM(M50:M55)</f>
        <v>0</v>
      </c>
      <c r="N56" s="34" t="n">
        <f aca="false">SUM(N50:N55)</f>
        <v>-18552</v>
      </c>
      <c r="O56" s="34" t="n">
        <f aca="false">SUM(O50:O55)</f>
        <v>0</v>
      </c>
      <c r="P56" s="34" t="n">
        <f aca="false">N56+O56</f>
        <v>-18552</v>
      </c>
      <c r="Q56" s="34" t="n">
        <f aca="false">SUM(Q50:Q55)</f>
        <v>0</v>
      </c>
      <c r="R56" s="34" t="n">
        <f aca="false">SUM(R50:R55)</f>
        <v>0</v>
      </c>
    </row>
    <row r="57" customFormat="false" ht="16.5" hidden="false" customHeight="true" outlineLevel="2" collapsed="false">
      <c r="A57" s="18" t="s">
        <v>87</v>
      </c>
      <c r="B57" s="14"/>
      <c r="C57" s="14"/>
      <c r="D57" s="35" t="n">
        <f aca="false">SUM(F57:O57)+SUM(Q57:R57)</f>
        <v>46522</v>
      </c>
      <c r="E57" s="10"/>
      <c r="F57" s="35" t="n">
        <f aca="false">F36+F47+F56</f>
        <v>44280</v>
      </c>
      <c r="G57" s="35" t="n">
        <f aca="false">G36+G47+G56</f>
        <v>10590</v>
      </c>
      <c r="H57" s="35" t="n">
        <f aca="false">H36+H47+H56</f>
        <v>14</v>
      </c>
      <c r="I57" s="35" t="n">
        <f aca="false">I36+I47+I56</f>
        <v>1515</v>
      </c>
      <c r="J57" s="35" t="n">
        <f aca="false">J36+J47+J56</f>
        <v>-7786</v>
      </c>
      <c r="K57" s="35" t="n">
        <f aca="false">K36+K47+K56</f>
        <v>-79</v>
      </c>
      <c r="L57" s="35" t="n">
        <f aca="false">L36+L47+L56</f>
        <v>725</v>
      </c>
      <c r="M57" s="35" t="n">
        <f aca="false">M36+M47+M56</f>
        <v>-314</v>
      </c>
      <c r="N57" s="35" t="n">
        <f aca="false">N36+N47+N56</f>
        <v>-93099</v>
      </c>
      <c r="O57" s="35" t="n">
        <f aca="false">O36+O47+O56</f>
        <v>74249</v>
      </c>
      <c r="P57" s="35" t="n">
        <f aca="false">N57+O57</f>
        <v>-18850</v>
      </c>
      <c r="Q57" s="35" t="n">
        <f aca="false">Q36+Q47+Q56</f>
        <v>16554</v>
      </c>
      <c r="R57" s="35" t="n">
        <f aca="false">R36+R47+R56</f>
        <v>-127</v>
      </c>
      <c r="S57" s="5" t="n">
        <f aca="false">SUM(F57:R57)</f>
        <v>27672</v>
      </c>
    </row>
    <row r="58" customFormat="false" ht="15.6" hidden="false" customHeight="true" outlineLevel="2" collapsed="false">
      <c r="A58" s="18" t="s">
        <v>88</v>
      </c>
      <c r="B58" s="14"/>
      <c r="C58" s="14"/>
      <c r="D58" s="36" t="n">
        <f aca="false">SUM(F58:O58)+SUM(Q58:R58)</f>
        <v>126</v>
      </c>
      <c r="E58" s="10"/>
      <c r="F58" s="36" t="n">
        <v>0</v>
      </c>
      <c r="G58" s="36" t="n">
        <v>0</v>
      </c>
      <c r="H58" s="36" t="n">
        <v>0</v>
      </c>
      <c r="I58" s="36" t="n">
        <v>126</v>
      </c>
      <c r="J58" s="36" t="n">
        <v>0</v>
      </c>
      <c r="K58" s="36" t="n">
        <v>0</v>
      </c>
      <c r="L58" s="36" t="n">
        <v>0</v>
      </c>
      <c r="M58" s="36" t="n">
        <v>0</v>
      </c>
      <c r="N58" s="36" t="n">
        <v>0</v>
      </c>
      <c r="O58" s="36" t="n">
        <v>0</v>
      </c>
      <c r="P58" s="36" t="n">
        <f aca="false">N58+O58</f>
        <v>0</v>
      </c>
      <c r="Q58" s="36" t="n">
        <v>0</v>
      </c>
      <c r="R58" s="36" t="n">
        <v>0</v>
      </c>
      <c r="S58" s="5" t="n">
        <f aca="false">SUM(F58:R58)</f>
        <v>126</v>
      </c>
    </row>
    <row r="59" customFormat="false" ht="17.25" hidden="false" customHeight="true" outlineLevel="1" collapsed="false">
      <c r="A59" s="18" t="s">
        <v>89</v>
      </c>
      <c r="B59" s="14"/>
      <c r="C59" s="14"/>
      <c r="D59" s="37" t="n">
        <f aca="false">SUM(F59:O59)+SUM(Q59:R59)</f>
        <v>46396</v>
      </c>
      <c r="E59" s="10"/>
      <c r="F59" s="37" t="n">
        <f aca="false">F57-F58</f>
        <v>44280</v>
      </c>
      <c r="G59" s="37" t="n">
        <f aca="false">G57-G58</f>
        <v>10590</v>
      </c>
      <c r="H59" s="37" t="n">
        <f aca="false">H57-H58</f>
        <v>14</v>
      </c>
      <c r="I59" s="37" t="n">
        <f aca="false">I57-I58</f>
        <v>1389</v>
      </c>
      <c r="J59" s="37" t="n">
        <f aca="false">J57-J58</f>
        <v>-7786</v>
      </c>
      <c r="K59" s="37" t="n">
        <f aca="false">K57-K58</f>
        <v>-79</v>
      </c>
      <c r="L59" s="37" t="n">
        <f aca="false">L57-L58</f>
        <v>725</v>
      </c>
      <c r="M59" s="37" t="n">
        <f aca="false">M57-M58</f>
        <v>-314</v>
      </c>
      <c r="N59" s="37" t="n">
        <f aca="false">N57-N58</f>
        <v>-93099</v>
      </c>
      <c r="O59" s="37" t="n">
        <f aca="false">O57-O58</f>
        <v>74249</v>
      </c>
      <c r="P59" s="37" t="n">
        <f aca="false">N59+O59</f>
        <v>-18850</v>
      </c>
      <c r="Q59" s="37" t="n">
        <f aca="false">Q57-Q58</f>
        <v>16554</v>
      </c>
      <c r="R59" s="37" t="n">
        <f aca="false">R57-R58</f>
        <v>-127</v>
      </c>
      <c r="S59" s="5" t="n">
        <f aca="false">SUM(F59:R59)</f>
        <v>27546</v>
      </c>
    </row>
    <row r="60" customFormat="false" ht="6.75" hidden="false" customHeight="true" outlineLevel="1" collapsed="false">
      <c r="B60" s="7"/>
      <c r="C60" s="7"/>
      <c r="D60" s="5" t="n">
        <f aca="false">SUM(F60:O60)+SUM(Q60:R60)</f>
        <v>0</v>
      </c>
      <c r="E60" s="10"/>
      <c r="P60" s="5" t="n">
        <f aca="false">N60+O60</f>
        <v>0</v>
      </c>
    </row>
    <row r="61" customFormat="false" ht="11.25" hidden="false" customHeight="false" outlineLevel="0" collapsed="false">
      <c r="B61" s="38"/>
      <c r="C61" s="7"/>
      <c r="D61" s="39" t="n">
        <f aca="false">SUM(F61:O61)+SUM(Q61:R61)</f>
        <v>0</v>
      </c>
      <c r="E61" s="10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 t="n">
        <f aca="false">N61+O61</f>
        <v>0</v>
      </c>
      <c r="Q61" s="39"/>
      <c r="R61" s="39"/>
    </row>
    <row r="62" customFormat="false" ht="11.25" hidden="false" customHeight="false" outlineLevel="0" collapsed="false">
      <c r="A62" s="5" t="s">
        <v>90</v>
      </c>
      <c r="B62" s="7"/>
      <c r="C62" s="7"/>
      <c r="D62" s="36" t="n">
        <f aca="false">SUM(F62:O62)+SUM(Q62:R62)</f>
        <v>-20</v>
      </c>
      <c r="E62" s="10"/>
      <c r="F62" s="36" t="n">
        <v>-20</v>
      </c>
      <c r="G62" s="36" t="n">
        <v>0</v>
      </c>
      <c r="H62" s="36" t="n">
        <v>0</v>
      </c>
      <c r="I62" s="36" t="n">
        <v>0</v>
      </c>
      <c r="J62" s="36" t="n">
        <v>0</v>
      </c>
      <c r="K62" s="36" t="n">
        <v>234</v>
      </c>
      <c r="L62" s="36" t="n">
        <v>-704</v>
      </c>
      <c r="M62" s="36" t="n">
        <v>470</v>
      </c>
      <c r="N62" s="36" t="n">
        <v>0</v>
      </c>
      <c r="O62" s="36" t="n">
        <v>0</v>
      </c>
      <c r="P62" s="36" t="n">
        <f aca="false">N62+O62</f>
        <v>0</v>
      </c>
      <c r="Q62" s="36" t="n">
        <v>0</v>
      </c>
      <c r="R62" s="36" t="n">
        <v>0</v>
      </c>
    </row>
    <row r="63" customFormat="false" ht="11.25" hidden="false" customHeight="false" outlineLevel="0" collapsed="false">
      <c r="B63" s="7"/>
      <c r="C63" s="7"/>
      <c r="D63" s="5" t="n">
        <f aca="false">SUM(F63:O63)+SUM(Q63:R63)</f>
        <v>0</v>
      </c>
      <c r="E63" s="10"/>
      <c r="P63" s="5" t="n">
        <f aca="false">N63+O63</f>
        <v>0</v>
      </c>
    </row>
    <row r="64" customFormat="false" ht="12" hidden="false" customHeight="false" outlineLevel="0" collapsed="false">
      <c r="A64" s="5" t="s">
        <v>91</v>
      </c>
      <c r="B64" s="7"/>
      <c r="C64" s="7"/>
      <c r="D64" s="37" t="n">
        <f aca="false">SUM(F64:O64)+SUM(Q64:R64)</f>
        <v>46376</v>
      </c>
      <c r="E64" s="10"/>
      <c r="F64" s="37" t="n">
        <f aca="false">F59+F62</f>
        <v>44260</v>
      </c>
      <c r="G64" s="37" t="n">
        <f aca="false">G59+G62</f>
        <v>10590</v>
      </c>
      <c r="H64" s="37" t="n">
        <f aca="false">H59+H62</f>
        <v>14</v>
      </c>
      <c r="I64" s="37" t="n">
        <f aca="false">I59+I62</f>
        <v>1389</v>
      </c>
      <c r="J64" s="37" t="n">
        <f aca="false">J59+J62</f>
        <v>-7786</v>
      </c>
      <c r="K64" s="37" t="n">
        <f aca="false">K59+K62</f>
        <v>155</v>
      </c>
      <c r="L64" s="37" t="n">
        <f aca="false">L59+L62</f>
        <v>21</v>
      </c>
      <c r="M64" s="37" t="n">
        <f aca="false">M59+M62</f>
        <v>156</v>
      </c>
      <c r="N64" s="37" t="n">
        <f aca="false">N59+N62</f>
        <v>-93099</v>
      </c>
      <c r="O64" s="37" t="n">
        <f aca="false">O59+O62</f>
        <v>74249</v>
      </c>
      <c r="P64" s="37" t="n">
        <f aca="false">N64+O64</f>
        <v>-18850</v>
      </c>
      <c r="Q64" s="37" t="n">
        <f aca="false">Q59+Q62</f>
        <v>16554</v>
      </c>
      <c r="R64" s="37" t="n">
        <f aca="false">R59+R62</f>
        <v>-127</v>
      </c>
    </row>
    <row r="65" customFormat="false" ht="2.25" hidden="false" customHeight="true" outlineLevel="0" collapsed="false">
      <c r="B65" s="7"/>
      <c r="C65" s="7"/>
      <c r="D65" s="5" t="n">
        <f aca="false">SUM(F65:O65)+SUM(Q65:R65)</f>
        <v>0</v>
      </c>
      <c r="E65" s="10"/>
      <c r="P65" s="5" t="n">
        <f aca="false">N65+O65</f>
        <v>0</v>
      </c>
    </row>
    <row r="66" customFormat="false" ht="11.25" hidden="false" customHeight="false" outlineLevel="0" collapsed="false">
      <c r="A66" s="5" t="s">
        <v>92</v>
      </c>
      <c r="B66" s="7"/>
      <c r="C66" s="7"/>
      <c r="D66" s="5" t="n">
        <f aca="false">SUM(F66:O66)+SUM(Q66:R66)</f>
        <v>46396</v>
      </c>
      <c r="E66" s="10"/>
      <c r="F66" s="5" t="n">
        <v>44280</v>
      </c>
      <c r="G66" s="5" t="n">
        <v>10590</v>
      </c>
      <c r="H66" s="5" t="n">
        <v>-1773</v>
      </c>
      <c r="I66" s="5" t="n">
        <v>1389</v>
      </c>
      <c r="J66" s="5" t="n">
        <f aca="false">-7786</f>
        <v>-7786</v>
      </c>
      <c r="K66" s="5" t="n">
        <v>-79</v>
      </c>
      <c r="L66" s="5" t="n">
        <v>725</v>
      </c>
      <c r="M66" s="5" t="n">
        <v>-314</v>
      </c>
      <c r="N66" s="5" t="n">
        <v>-93099</v>
      </c>
      <c r="O66" s="5" t="n">
        <v>74249</v>
      </c>
      <c r="P66" s="5" t="n">
        <f aca="false">N66+O66</f>
        <v>-18850</v>
      </c>
      <c r="Q66" s="5" t="n">
        <v>18341</v>
      </c>
      <c r="R66" s="5" t="n">
        <v>-127</v>
      </c>
    </row>
    <row r="67" customFormat="false" ht="11.25" hidden="false" customHeight="false" outlineLevel="0" collapsed="false">
      <c r="D67" s="5" t="n">
        <f aca="false">D59-D66</f>
        <v>0</v>
      </c>
      <c r="F67" s="5" t="n">
        <f aca="false">F59-F66</f>
        <v>0</v>
      </c>
      <c r="G67" s="5" t="n">
        <f aca="false">G59-G66</f>
        <v>0</v>
      </c>
      <c r="H67" s="5" t="n">
        <f aca="false">H59-H66</f>
        <v>1787</v>
      </c>
      <c r="I67" s="5" t="n">
        <f aca="false">I59-I66</f>
        <v>0</v>
      </c>
      <c r="J67" s="5" t="n">
        <f aca="false">J59-J66</f>
        <v>0</v>
      </c>
      <c r="K67" s="5" t="n">
        <f aca="false">K59-K66</f>
        <v>0</v>
      </c>
      <c r="L67" s="5" t="n">
        <f aca="false">L59-L66</f>
        <v>0</v>
      </c>
      <c r="M67" s="5" t="n">
        <f aca="false">M59-M66</f>
        <v>0</v>
      </c>
      <c r="N67" s="5" t="n">
        <f aca="false">N59-N66</f>
        <v>0</v>
      </c>
      <c r="O67" s="5" t="n">
        <f aca="false">O59-O66</f>
        <v>0</v>
      </c>
      <c r="P67" s="5" t="n">
        <f aca="false">N67+O67</f>
        <v>0</v>
      </c>
      <c r="Q67" s="5" t="n">
        <f aca="false">Q59-Q66</f>
        <v>-1787</v>
      </c>
      <c r="R67" s="5" t="n">
        <f aca="false">R59-R66</f>
        <v>0</v>
      </c>
    </row>
    <row r="69" customFormat="false" ht="11.25" hidden="false" customHeight="false" outlineLevel="0" collapsed="false">
      <c r="D69" s="5" t="n">
        <v>45433</v>
      </c>
      <c r="E69" s="10"/>
      <c r="F69" s="5" t="s">
        <v>93</v>
      </c>
    </row>
    <row r="70" customFormat="false" ht="11.25" hidden="false" customHeight="false" outlineLevel="0" collapsed="false">
      <c r="D70" s="5" t="n">
        <f aca="false">D59</f>
        <v>46396</v>
      </c>
      <c r="E70" s="10"/>
      <c r="F70" s="5" t="s">
        <v>94</v>
      </c>
    </row>
    <row r="71" customFormat="false" ht="11.25" hidden="false" customHeight="false" outlineLevel="0" collapsed="false">
      <c r="D71" s="5" t="n">
        <f aca="false">D69-D70</f>
        <v>-963</v>
      </c>
      <c r="E71" s="10"/>
      <c r="F71" s="5" t="s">
        <v>95</v>
      </c>
    </row>
    <row r="72" customFormat="false" ht="11.25" hidden="false" customHeight="false" outlineLevel="0" collapsed="false">
      <c r="E72" s="10"/>
    </row>
    <row r="73" customFormat="false" ht="11.25" hidden="false" customHeight="false" outlineLevel="0" collapsed="false">
      <c r="E73" s="10"/>
    </row>
    <row r="74" customFormat="false" ht="11.25" hidden="false" customHeight="false" outlineLevel="0" collapsed="false">
      <c r="E74" s="10"/>
    </row>
    <row r="75" customFormat="false" ht="11.25" hidden="false" customHeight="false" outlineLevel="0" collapsed="false">
      <c r="E75" s="10"/>
    </row>
    <row r="76" customFormat="false" ht="11.25" hidden="false" customHeight="false" outlineLevel="0" collapsed="false">
      <c r="E76" s="10"/>
    </row>
    <row r="77" customFormat="false" ht="11.25" hidden="false" customHeight="false" outlineLevel="0" collapsed="false">
      <c r="E77" s="10"/>
    </row>
    <row r="78" customFormat="false" ht="11.25" hidden="false" customHeight="false" outlineLevel="0" collapsed="false">
      <c r="E78" s="10"/>
    </row>
    <row r="79" customFormat="false" ht="11.25" hidden="false" customHeight="false" outlineLevel="0" collapsed="false">
      <c r="E79" s="10"/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76"/>
  <sheetViews>
    <sheetView showFormulas="false" showGridLines="true" showRowColHeaders="true" showZeros="true" rightToLeft="false" tabSelected="true" showOutlineSymbols="true" defaultGridColor="true" view="normal" topLeftCell="D1" colorId="64" zoomScale="100" zoomScaleNormal="100" zoomScalePageLayoutView="100" workbookViewId="0">
      <selection pane="topLeft" activeCell="S1" activeCellId="0" sqref="S1"/>
    </sheetView>
  </sheetViews>
  <sheetFormatPr defaultColWidth="8.9921875" defaultRowHeight="12.75" customHeight="true" zeroHeight="false" outlineLevelRow="4" outlineLevelCol="0"/>
  <cols>
    <col collapsed="false" customWidth="true" hidden="false" outlineLevel="0" max="1" min="1" style="40" width="67.99"/>
    <col collapsed="false" customWidth="true" hidden="false" outlineLevel="0" max="2" min="2" style="40" width="14.49"/>
    <col collapsed="false" customWidth="true" hidden="false" outlineLevel="0" max="3" min="3" style="40" width="1.82"/>
    <col collapsed="false" customWidth="true" hidden="false" outlineLevel="0" max="4" min="4" style="40" width="11.82"/>
    <col collapsed="false" customWidth="true" hidden="false" outlineLevel="0" max="5" min="5" style="40" width="11.65"/>
    <col collapsed="false" customWidth="true" hidden="false" outlineLevel="0" max="6" min="6" style="40" width="10.82"/>
    <col collapsed="false" customWidth="true" hidden="false" outlineLevel="0" max="7" min="7" style="40" width="12.82"/>
    <col collapsed="false" customWidth="true" hidden="false" outlineLevel="0" max="11" min="8" style="40" width="10.82"/>
    <col collapsed="false" customWidth="true" hidden="false" outlineLevel="0" max="13" min="12" style="40" width="12.16"/>
    <col collapsed="false" customWidth="true" hidden="false" outlineLevel="0" max="14" min="14" style="40" width="10.82"/>
    <col collapsed="false" customWidth="true" hidden="false" outlineLevel="0" max="15" min="15" style="40" width="3.65"/>
    <col collapsed="false" customWidth="true" hidden="false" outlineLevel="0" max="16" min="16" style="40" width="9.82"/>
    <col collapsed="false" customWidth="false" hidden="false" outlineLevel="0" max="257" min="17" style="40" width="8.99"/>
  </cols>
  <sheetData>
    <row r="1" customFormat="false" ht="12.75" hidden="false" customHeight="true" outlineLevel="0" collapsed="false">
      <c r="A1" s="41" t="s">
        <v>18</v>
      </c>
      <c r="B1" s="42"/>
      <c r="C1" s="42"/>
      <c r="D1" s="42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customFormat="false" ht="12.75" hidden="false" customHeight="true" outlineLevel="0" collapsed="false">
      <c r="A2" s="44" t="s">
        <v>19</v>
      </c>
      <c r="D2" s="45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customFormat="false" ht="12.75" hidden="false" customHeight="true" outlineLevel="0" collapsed="false">
      <c r="A3" s="47" t="s">
        <v>96</v>
      </c>
      <c r="B3" s="42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</row>
    <row r="4" customFormat="false" ht="12.75" hidden="false" customHeight="true" outlineLevel="0" collapsed="false">
      <c r="A4" s="42"/>
      <c r="B4" s="49" t="s">
        <v>97</v>
      </c>
      <c r="C4" s="50"/>
      <c r="D4" s="51"/>
      <c r="I4" s="52" t="s">
        <v>98</v>
      </c>
      <c r="J4" s="52" t="s">
        <v>28</v>
      </c>
      <c r="K4" s="52" t="s">
        <v>29</v>
      </c>
      <c r="L4" s="52" t="s">
        <v>32</v>
      </c>
      <c r="M4" s="52" t="s">
        <v>99</v>
      </c>
      <c r="P4" s="53" t="s">
        <v>21</v>
      </c>
    </row>
    <row r="5" customFormat="false" ht="12.75" hidden="false" customHeight="true" outlineLevel="0" collapsed="false">
      <c r="A5" s="54" t="s">
        <v>34</v>
      </c>
      <c r="B5" s="55" t="s">
        <v>100</v>
      </c>
      <c r="C5" s="52"/>
      <c r="D5" s="51" t="s">
        <v>35</v>
      </c>
      <c r="E5" s="51" t="s">
        <v>22</v>
      </c>
      <c r="F5" s="51" t="s">
        <v>23</v>
      </c>
      <c r="G5" s="51" t="s">
        <v>24</v>
      </c>
      <c r="H5" s="51" t="s">
        <v>25</v>
      </c>
      <c r="I5" s="51" t="n">
        <v>543</v>
      </c>
      <c r="J5" s="51" t="n">
        <v>584</v>
      </c>
      <c r="K5" s="51" t="n">
        <v>583</v>
      </c>
      <c r="L5" s="51" t="s">
        <v>38</v>
      </c>
      <c r="M5" s="51" t="s">
        <v>101</v>
      </c>
      <c r="N5" s="51" t="s">
        <v>33</v>
      </c>
      <c r="P5" s="56" t="s">
        <v>102</v>
      </c>
    </row>
    <row r="6" customFormat="false" ht="12.75" hidden="false" customHeight="true" outlineLevel="2" collapsed="false">
      <c r="A6" s="57"/>
      <c r="B6" s="58"/>
      <c r="C6" s="58"/>
      <c r="D6" s="59"/>
      <c r="E6" s="60"/>
      <c r="F6" s="60"/>
      <c r="G6" s="60"/>
      <c r="H6" s="60"/>
      <c r="I6" s="60"/>
      <c r="J6" s="60"/>
      <c r="K6" s="60"/>
      <c r="L6" s="60"/>
      <c r="M6" s="60"/>
      <c r="N6" s="60"/>
    </row>
    <row r="7" customFormat="false" ht="12.75" hidden="false" customHeight="true" outlineLevel="4" collapsed="false">
      <c r="A7" s="61" t="s">
        <v>39</v>
      </c>
      <c r="B7" s="58"/>
      <c r="C7" s="58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</row>
    <row r="8" customFormat="false" ht="12.75" hidden="false" customHeight="true" outlineLevel="4" collapsed="false">
      <c r="A8" s="57" t="s">
        <v>40</v>
      </c>
      <c r="B8" s="58" t="n">
        <f aca="false">D8+P8</f>
        <v>28768.121</v>
      </c>
      <c r="C8" s="58"/>
      <c r="D8" s="62" t="n">
        <f aca="false">SUM(E8:K8)+L8+M8+N8</f>
        <v>25723.556</v>
      </c>
      <c r="E8" s="62" t="n">
        <f aca="false">+SEPTYTD!E8-'AUGYTD '!E8</f>
        <v>13377.118</v>
      </c>
      <c r="F8" s="62" t="n">
        <f aca="false">+SEPTYTD!F8-'AUGYTD '!F8</f>
        <v>8104.21800000002</v>
      </c>
      <c r="G8" s="62" t="n">
        <f aca="false">+SEPTYTD!G8-'AUGYTD '!G8</f>
        <v>4124.267</v>
      </c>
      <c r="H8" s="62" t="n">
        <f aca="false">+SEPTYTD!H8-'AUGYTD '!H8</f>
        <v>485.655000000001</v>
      </c>
      <c r="I8" s="62" t="n">
        <f aca="false">+SEPTYTD!I8-'AUGYTD '!I8</f>
        <v>-15.179</v>
      </c>
      <c r="J8" s="62" t="n">
        <f aca="false">+SEPTYTD!J8-'AUGYTD '!J8</f>
        <v>397.533</v>
      </c>
      <c r="K8" s="62" t="n">
        <f aca="false">+SEPTYTD!K8-'AUGYTD '!K8</f>
        <v>72.485</v>
      </c>
      <c r="L8" s="62" t="n">
        <f aca="false">+SEPTYTD!L8-'AUGYTD '!O8</f>
        <v>-797.118000000002</v>
      </c>
      <c r="M8" s="62" t="n">
        <f aca="false">+SEPTYTD!M8-'AUGYTD '!P8</f>
        <v>-288.043</v>
      </c>
      <c r="N8" s="62" t="n">
        <f aca="false">+SEPTYTD!N8-'AUGYTD '!Q8</f>
        <v>262.62</v>
      </c>
      <c r="P8" s="62" t="n">
        <f aca="false">+SEPTYTD!P8-'AUGYTD '!S8</f>
        <v>3044.565</v>
      </c>
    </row>
    <row r="9" customFormat="false" ht="12.75" hidden="false" customHeight="true" outlineLevel="4" collapsed="false">
      <c r="A9" s="57" t="s">
        <v>41</v>
      </c>
      <c r="B9" s="63" t="n">
        <f aca="false">D9+P9</f>
        <v>2775.765</v>
      </c>
      <c r="C9" s="58"/>
      <c r="D9" s="64" t="n">
        <f aca="false">SUM(E9:K9)+L9+M9+N9</f>
        <v>2765.253</v>
      </c>
      <c r="E9" s="64" t="n">
        <f aca="false">+SEPTYTD!E9-'AUGYTD '!E9</f>
        <v>-1202.163</v>
      </c>
      <c r="F9" s="64" t="n">
        <f aca="false">+SEPTYTD!F9-'AUGYTD '!F9</f>
        <v>6.2080000000006</v>
      </c>
      <c r="G9" s="64" t="n">
        <f aca="false">+SEPTYTD!G9-'AUGYTD '!G9</f>
        <v>0</v>
      </c>
      <c r="H9" s="64" t="n">
        <f aca="false">+SEPTYTD!H9-'AUGYTD '!H9</f>
        <v>292.657</v>
      </c>
      <c r="I9" s="64" t="n">
        <f aca="false">+SEPTYTD!I9-'AUGYTD '!I9</f>
        <v>0</v>
      </c>
      <c r="J9" s="64" t="n">
        <f aca="false">+SEPTYTD!J9-'AUGYTD '!J9</f>
        <v>127.709</v>
      </c>
      <c r="K9" s="64" t="n">
        <f aca="false">+SEPTYTD!K9-'AUGYTD '!K9</f>
        <v>0</v>
      </c>
      <c r="L9" s="64" t="n">
        <f aca="false">+SEPTYTD!L9-'AUGYTD '!O9</f>
        <v>3540.842</v>
      </c>
      <c r="M9" s="64" t="n">
        <f aca="false">+SEPTYTD!M9-'AUGYTD '!P9</f>
        <v>0</v>
      </c>
      <c r="N9" s="64" t="n">
        <f aca="false">+SEPTYTD!N9-'AUGYTD '!Q9</f>
        <v>0</v>
      </c>
      <c r="P9" s="64" t="n">
        <f aca="false">+SEPTYTD!P9-'AUGYTD '!S9</f>
        <v>10.512</v>
      </c>
    </row>
    <row r="10" customFormat="false" ht="12.75" hidden="false" customHeight="true" outlineLevel="4" collapsed="false">
      <c r="A10" s="57" t="s">
        <v>42</v>
      </c>
      <c r="B10" s="65" t="n">
        <f aca="false">B8+B9</f>
        <v>31543.886</v>
      </c>
      <c r="C10" s="58"/>
      <c r="D10" s="65" t="n">
        <f aca="false">D8+D9</f>
        <v>28488.809</v>
      </c>
      <c r="E10" s="65" t="n">
        <f aca="false">E8+E9</f>
        <v>12174.955</v>
      </c>
      <c r="F10" s="65" t="n">
        <f aca="false">F8+F9</f>
        <v>8110.42600000002</v>
      </c>
      <c r="G10" s="65" t="n">
        <f aca="false">G8+G9</f>
        <v>4124.267</v>
      </c>
      <c r="H10" s="65" t="n">
        <f aca="false">H8+H9</f>
        <v>778.312000000001</v>
      </c>
      <c r="I10" s="65" t="n">
        <f aca="false">I8+I9</f>
        <v>-15.179</v>
      </c>
      <c r="J10" s="65" t="n">
        <f aca="false">J8+J9</f>
        <v>525.242</v>
      </c>
      <c r="K10" s="65" t="n">
        <f aca="false">K8+K9</f>
        <v>72.485</v>
      </c>
      <c r="L10" s="65" t="n">
        <f aca="false">L8+L9</f>
        <v>2743.724</v>
      </c>
      <c r="M10" s="65" t="n">
        <f aca="false">M8+M9</f>
        <v>-288.043</v>
      </c>
      <c r="N10" s="65" t="n">
        <f aca="false">N8+N9</f>
        <v>262.62</v>
      </c>
      <c r="P10" s="65" t="n">
        <f aca="false">P8+P9</f>
        <v>3055.077</v>
      </c>
    </row>
    <row r="11" customFormat="false" ht="12.75" hidden="false" customHeight="true" outlineLevel="4" collapsed="false">
      <c r="A11" s="57"/>
      <c r="B11" s="65"/>
      <c r="C11" s="58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P11" s="65"/>
    </row>
    <row r="12" customFormat="false" ht="12.75" hidden="false" customHeight="true" outlineLevel="4" collapsed="false">
      <c r="A12" s="57" t="s">
        <v>43</v>
      </c>
      <c r="B12" s="58" t="n">
        <f aca="false">D12+P12</f>
        <v>5559.351</v>
      </c>
      <c r="C12" s="58"/>
      <c r="D12" s="62" t="n">
        <f aca="false">SUM(E12:K12)+L12+M12+N12</f>
        <v>5559.351</v>
      </c>
      <c r="E12" s="62" t="n">
        <f aca="false">+SEPTYTD!E12-'AUGYTD '!E12</f>
        <v>4001.641</v>
      </c>
      <c r="F12" s="62" t="n">
        <f aca="false">+SEPTYTD!F12-'AUGYTD '!F12</f>
        <v>1557.71</v>
      </c>
      <c r="G12" s="62" t="n">
        <f aca="false">+SEPTYTD!G12-'AUGYTD '!G12</f>
        <v>0</v>
      </c>
      <c r="H12" s="62" t="n">
        <f aca="false">+SEPTYTD!H12-'AUGYTD '!H12</f>
        <v>0</v>
      </c>
      <c r="I12" s="62" t="n">
        <f aca="false">+SEPTYTD!I12-'AUGYTD '!I12</f>
        <v>0</v>
      </c>
      <c r="J12" s="62" t="n">
        <f aca="false">+SEPTYTD!J12-'AUGYTD '!J12</f>
        <v>0</v>
      </c>
      <c r="K12" s="62" t="n">
        <f aca="false">+SEPTYTD!K12-'AUGYTD '!K12</f>
        <v>0</v>
      </c>
      <c r="L12" s="62" t="n">
        <f aca="false">+SEPTYTD!L12-'AUGYTD '!O12</f>
        <v>0</v>
      </c>
      <c r="M12" s="62" t="n">
        <f aca="false">+SEPTYTD!M12-'AUGYTD '!P12</f>
        <v>0</v>
      </c>
      <c r="N12" s="62" t="n">
        <f aca="false">+SEPTYTD!N12-'AUGYTD '!Q12</f>
        <v>0</v>
      </c>
      <c r="P12" s="62" t="n">
        <f aca="false">+SEPTYTD!P12-'AUGYTD '!S12</f>
        <v>0</v>
      </c>
    </row>
    <row r="13" customFormat="false" ht="12.75" hidden="false" customHeight="true" outlineLevel="4" collapsed="false">
      <c r="A13" s="57" t="s">
        <v>45</v>
      </c>
      <c r="B13" s="58" t="n">
        <f aca="false">D13+P13</f>
        <v>4276.779</v>
      </c>
      <c r="C13" s="58"/>
      <c r="D13" s="62" t="n">
        <f aca="false">SUM(E13:K13)+L13+M13+N13</f>
        <v>4276.78</v>
      </c>
      <c r="E13" s="62" t="n">
        <f aca="false">+SEPTYTD!E13-'AUGYTD '!E13</f>
        <v>4677.571</v>
      </c>
      <c r="F13" s="62" t="n">
        <f aca="false">+SEPTYTD!F13-'AUGYTD '!F13</f>
        <v>691.802</v>
      </c>
      <c r="G13" s="62" t="n">
        <f aca="false">+SEPTYTD!G13-'AUGYTD '!G13</f>
        <v>0</v>
      </c>
      <c r="H13" s="62" t="n">
        <f aca="false">+SEPTYTD!H13-'AUGYTD '!H13</f>
        <v>-41.986</v>
      </c>
      <c r="I13" s="62" t="n">
        <f aca="false">+SEPTYTD!I13-'AUGYTD '!I13</f>
        <v>0</v>
      </c>
      <c r="J13" s="62" t="n">
        <f aca="false">+SEPTYTD!J13-'AUGYTD '!J13</f>
        <v>0</v>
      </c>
      <c r="K13" s="62" t="n">
        <f aca="false">+SEPTYTD!K13-'AUGYTD '!K13</f>
        <v>-0.607</v>
      </c>
      <c r="L13" s="62" t="n">
        <f aca="false">+SEPTYTD!L13-'AUGYTD '!O13</f>
        <v>-1050</v>
      </c>
      <c r="M13" s="62" t="n">
        <f aca="false">+SEPTYTD!M13-'AUGYTD '!P13</f>
        <v>0</v>
      </c>
      <c r="N13" s="62" t="n">
        <f aca="false">+SEPTYTD!N13-'AUGYTD '!Q13</f>
        <v>0</v>
      </c>
      <c r="P13" s="62" t="n">
        <f aca="false">+SEPTYTD!P13-'AUGYTD '!S13</f>
        <v>-0.000999999999976353</v>
      </c>
    </row>
    <row r="14" customFormat="false" ht="12.75" hidden="false" customHeight="true" outlineLevel="4" collapsed="false">
      <c r="A14" s="57" t="s">
        <v>47</v>
      </c>
      <c r="B14" s="58" t="n">
        <f aca="false">D14+P14</f>
        <v>-968.493</v>
      </c>
      <c r="C14" s="58"/>
      <c r="D14" s="62" t="n">
        <f aca="false">SUM(E14:K14)+L14+M14+N14</f>
        <v>-968.493</v>
      </c>
      <c r="E14" s="62" t="n">
        <f aca="false">+SEPTYTD!E14-'AUGYTD '!E14</f>
        <v>-968.493</v>
      </c>
      <c r="F14" s="62" t="n">
        <f aca="false">+SEPTYTD!F14-'AUGYTD '!F14</f>
        <v>0</v>
      </c>
      <c r="G14" s="62" t="n">
        <f aca="false">+SEPTYTD!G14-'AUGYTD '!G14</f>
        <v>0</v>
      </c>
      <c r="H14" s="62" t="n">
        <f aca="false">+SEPTYTD!H14-'AUGYTD '!H14</f>
        <v>0</v>
      </c>
      <c r="I14" s="62" t="n">
        <f aca="false">+SEPTYTD!I14-'AUGYTD '!I14</f>
        <v>0</v>
      </c>
      <c r="J14" s="62" t="n">
        <f aca="false">+SEPTYTD!J14-'AUGYTD '!J14</f>
        <v>0</v>
      </c>
      <c r="K14" s="62" t="n">
        <f aca="false">+SEPTYTD!K14-'AUGYTD '!K14</f>
        <v>0</v>
      </c>
      <c r="L14" s="62" t="n">
        <f aca="false">+SEPTYTD!L14-'AUGYTD '!O14</f>
        <v>0</v>
      </c>
      <c r="M14" s="62" t="n">
        <f aca="false">+SEPTYTD!M14-'AUGYTD '!P14</f>
        <v>0</v>
      </c>
      <c r="N14" s="62" t="n">
        <f aca="false">+SEPTYTD!N14-'AUGYTD '!Q14</f>
        <v>0</v>
      </c>
      <c r="P14" s="62" t="n">
        <f aca="false">+SEPTYTD!P14-'AUGYTD '!S14</f>
        <v>0</v>
      </c>
    </row>
    <row r="15" customFormat="false" ht="12.75" hidden="false" customHeight="true" outlineLevel="4" collapsed="false">
      <c r="A15" s="57" t="s">
        <v>48</v>
      </c>
      <c r="B15" s="58" t="n">
        <f aca="false">D15+P15</f>
        <v>0</v>
      </c>
      <c r="C15" s="58"/>
      <c r="D15" s="62" t="n">
        <f aca="false">SUM(E15:K15)+L15+M15+N15</f>
        <v>0</v>
      </c>
      <c r="E15" s="62" t="n">
        <f aca="false">+SEPTYTD!E15-'AUGYTD '!E15</f>
        <v>0</v>
      </c>
      <c r="F15" s="62" t="n">
        <f aca="false">+SEPTYTD!F15-'AUGYTD '!F15</f>
        <v>0</v>
      </c>
      <c r="G15" s="62" t="n">
        <f aca="false">+SEPTYTD!G15-'AUGYTD '!G15</f>
        <v>0</v>
      </c>
      <c r="H15" s="62" t="n">
        <f aca="false">+SEPTYTD!H15-'AUGYTD '!H15</f>
        <v>0</v>
      </c>
      <c r="I15" s="62" t="n">
        <f aca="false">+SEPTYTD!I15-'AUGYTD '!I15</f>
        <v>0</v>
      </c>
      <c r="J15" s="62" t="n">
        <f aca="false">+SEPTYTD!J15-'AUGYTD '!J15</f>
        <v>0</v>
      </c>
      <c r="K15" s="62" t="n">
        <f aca="false">+SEPTYTD!K15-'AUGYTD '!K15</f>
        <v>0</v>
      </c>
      <c r="L15" s="62" t="n">
        <f aca="false">+SEPTYTD!L15-'AUGYTD '!O15</f>
        <v>0</v>
      </c>
      <c r="M15" s="62" t="n">
        <f aca="false">+SEPTYTD!M15-'AUGYTD '!P15</f>
        <v>0</v>
      </c>
      <c r="N15" s="62" t="n">
        <f aca="false">+SEPTYTD!N15-'AUGYTD '!Q15</f>
        <v>0</v>
      </c>
      <c r="P15" s="62" t="n">
        <f aca="false">+SEPTYTD!P15-'AUGYTD '!S15</f>
        <v>0</v>
      </c>
    </row>
    <row r="16" customFormat="false" ht="12.75" hidden="false" customHeight="true" outlineLevel="4" collapsed="false">
      <c r="A16" s="57" t="s">
        <v>51</v>
      </c>
      <c r="B16" s="58" t="n">
        <f aca="false">D16+P16</f>
        <v>-6586.692</v>
      </c>
      <c r="C16" s="58"/>
      <c r="D16" s="62" t="n">
        <f aca="false">SUM(E16:K16)+L16+M16+N16</f>
        <v>-5249.132</v>
      </c>
      <c r="E16" s="62" t="n">
        <f aca="false">+SEPTYTD!E16-'AUGYTD '!E16</f>
        <v>-346.088</v>
      </c>
      <c r="F16" s="62" t="n">
        <f aca="false">+SEPTYTD!F16-'AUGYTD '!F16</f>
        <v>0</v>
      </c>
      <c r="G16" s="62" t="n">
        <f aca="false">+SEPTYTD!G16-'AUGYTD '!G16</f>
        <v>-4124.267</v>
      </c>
      <c r="H16" s="62" t="n">
        <f aca="false">+SEPTYTD!H16-'AUGYTD '!H16</f>
        <v>-778.777</v>
      </c>
      <c r="I16" s="62" t="n">
        <f aca="false">+SEPTYTD!I16-'AUGYTD '!I16</f>
        <v>0</v>
      </c>
      <c r="J16" s="62" t="n">
        <f aca="false">+SEPTYTD!J16-'AUGYTD '!J16</f>
        <v>0</v>
      </c>
      <c r="K16" s="62" t="n">
        <f aca="false">+SEPTYTD!K16-'AUGYTD '!K16</f>
        <v>0</v>
      </c>
      <c r="L16" s="62" t="n">
        <f aca="false">+SEPTYTD!L16-'AUGYTD '!O16</f>
        <v>0</v>
      </c>
      <c r="M16" s="62" t="n">
        <f aca="false">+SEPTYTD!M16-'AUGYTD '!P16</f>
        <v>0</v>
      </c>
      <c r="N16" s="62" t="n">
        <f aca="false">+SEPTYTD!N16-'AUGYTD '!Q16</f>
        <v>0</v>
      </c>
      <c r="P16" s="62" t="n">
        <f aca="false">+SEPTYTD!P16-'AUGYTD '!S16</f>
        <v>-1337.56</v>
      </c>
    </row>
    <row r="17" customFormat="false" ht="12.75" hidden="false" customHeight="true" outlineLevel="4" collapsed="false">
      <c r="A17" s="57" t="s">
        <v>52</v>
      </c>
      <c r="B17" s="58" t="n">
        <f aca="false">D17+P17</f>
        <v>800</v>
      </c>
      <c r="C17" s="58"/>
      <c r="D17" s="62" t="n">
        <f aca="false">SUM(E17:K17)+L17+M17+N17</f>
        <v>800</v>
      </c>
      <c r="E17" s="62" t="n">
        <f aca="false">+SEPTYTD!E17-'AUGYTD '!E17</f>
        <v>800</v>
      </c>
      <c r="F17" s="62" t="n">
        <f aca="false">+SEPTYTD!F17-'AUGYTD '!F17</f>
        <v>0</v>
      </c>
      <c r="G17" s="62" t="n">
        <f aca="false">+SEPTYTD!G17-'AUGYTD '!G17</f>
        <v>0</v>
      </c>
      <c r="H17" s="62" t="n">
        <f aca="false">+SEPTYTD!H17-'AUGYTD '!H17</f>
        <v>0</v>
      </c>
      <c r="I17" s="62" t="n">
        <f aca="false">+SEPTYTD!I17-'AUGYTD '!I17</f>
        <v>0</v>
      </c>
      <c r="J17" s="62" t="n">
        <f aca="false">+SEPTYTD!J17-'AUGYTD '!J17</f>
        <v>0</v>
      </c>
      <c r="K17" s="62" t="n">
        <f aca="false">+SEPTYTD!K17-'AUGYTD '!K17</f>
        <v>0</v>
      </c>
      <c r="L17" s="62" t="n">
        <f aca="false">+SEPTYTD!L17-'AUGYTD '!O17</f>
        <v>0</v>
      </c>
      <c r="M17" s="62" t="n">
        <f aca="false">+SEPTYTD!M17-'AUGYTD '!P17</f>
        <v>0</v>
      </c>
      <c r="N17" s="62" t="n">
        <f aca="false">+SEPTYTD!N17-'AUGYTD '!Q17</f>
        <v>0</v>
      </c>
      <c r="P17" s="62" t="n">
        <f aca="false">+SEPTYTD!P17-'AUGYTD '!S17</f>
        <v>0</v>
      </c>
    </row>
    <row r="18" customFormat="false" ht="12.75" hidden="false" customHeight="true" outlineLevel="4" collapsed="false">
      <c r="A18" s="57" t="s">
        <v>53</v>
      </c>
      <c r="B18" s="63" t="n">
        <f aca="false">D18+P18</f>
        <v>-26625</v>
      </c>
      <c r="C18" s="58"/>
      <c r="D18" s="62" t="n">
        <f aca="false">SUM(E18:K18)+L18+M18+N18</f>
        <v>-26372</v>
      </c>
      <c r="E18" s="62" t="n">
        <f aca="false">+SEPTYTD!E18-'AUGYTD '!E18</f>
        <v>-30791</v>
      </c>
      <c r="F18" s="62" t="n">
        <f aca="false">+SEPTYTD!F18-'AUGYTD '!F18</f>
        <v>374</v>
      </c>
      <c r="G18" s="62" t="n">
        <f aca="false">+SEPTYTD!G18-'AUGYTD '!G18</f>
        <v>0</v>
      </c>
      <c r="H18" s="62" t="n">
        <f aca="false">+SEPTYTD!H18-'AUGYTD '!H18</f>
        <v>-1</v>
      </c>
      <c r="I18" s="62" t="n">
        <f aca="false">+SEPTYTD!I18-'AUGYTD '!I18</f>
        <v>1</v>
      </c>
      <c r="J18" s="62" t="n">
        <f aca="false">+SEPTYTD!J18-'AUGYTD '!J18</f>
        <v>-119</v>
      </c>
      <c r="K18" s="62" t="n">
        <f aca="false">+SEPTYTD!K18-'AUGYTD '!K18</f>
        <v>-2</v>
      </c>
      <c r="L18" s="62" t="n">
        <f aca="false">+SEPTYTD!L18-'AUGYTD '!O18</f>
        <v>3182</v>
      </c>
      <c r="M18" s="62" t="n">
        <f aca="false">+SEPTYTD!M18-'AUGYTD '!P18</f>
        <v>1</v>
      </c>
      <c r="N18" s="62" t="n">
        <f aca="false">+SEPTYTD!N18-'AUGYTD '!Q18</f>
        <v>983</v>
      </c>
      <c r="P18" s="62" t="n">
        <f aca="false">+SEPTYTD!P18-'AUGYTD '!S18</f>
        <v>-253</v>
      </c>
    </row>
    <row r="19" customFormat="false" ht="12.75" hidden="false" customHeight="true" outlineLevel="4" collapsed="false">
      <c r="A19" s="57" t="s">
        <v>54</v>
      </c>
      <c r="B19" s="66" t="n">
        <f aca="false">SUM(B10:B18)</f>
        <v>7999.83100000004</v>
      </c>
      <c r="C19" s="58"/>
      <c r="D19" s="66" t="n">
        <f aca="false">SUM(D10:D18)</f>
        <v>6535.31500000004</v>
      </c>
      <c r="E19" s="66" t="n">
        <f aca="false">SUM(E10:E18)</f>
        <v>-10451.414</v>
      </c>
      <c r="F19" s="66" t="n">
        <f aca="false">SUM(F10:F18)</f>
        <v>10733.938</v>
      </c>
      <c r="G19" s="66" t="n">
        <f aca="false">SUM(G10:G18)</f>
        <v>0</v>
      </c>
      <c r="H19" s="66" t="n">
        <f aca="false">SUM(H10:H18)</f>
        <v>-43.4509999999988</v>
      </c>
      <c r="I19" s="66" t="n">
        <f aca="false">SUM(I10:I18)</f>
        <v>-14.179</v>
      </c>
      <c r="J19" s="66" t="n">
        <f aca="false">SUM(J10:J18)</f>
        <v>406.242</v>
      </c>
      <c r="K19" s="66" t="n">
        <f aca="false">SUM(K10:K18)</f>
        <v>69.878</v>
      </c>
      <c r="L19" s="66" t="n">
        <f aca="false">SUM(L10:L18)</f>
        <v>4875.724</v>
      </c>
      <c r="M19" s="66" t="n">
        <f aca="false">SUM(M10:M18)</f>
        <v>-287.043</v>
      </c>
      <c r="N19" s="66" t="n">
        <f aca="false">SUM(N10:N18)</f>
        <v>1245.62</v>
      </c>
      <c r="P19" s="66" t="n">
        <f aca="false">SUM(P10:P18)</f>
        <v>1464.516</v>
      </c>
    </row>
    <row r="20" customFormat="false" ht="12.75" hidden="false" customHeight="true" outlineLevel="4" collapsed="false">
      <c r="A20" s="57"/>
      <c r="B20" s="42"/>
      <c r="C20" s="58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P20" s="42"/>
    </row>
    <row r="21" customFormat="false" ht="12.75" hidden="false" customHeight="true" outlineLevel="4" collapsed="false">
      <c r="A21" s="57" t="s">
        <v>103</v>
      </c>
      <c r="B21" s="58"/>
      <c r="C21" s="58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P21" s="42"/>
    </row>
    <row r="22" customFormat="false" ht="12.75" hidden="false" customHeight="true" outlineLevel="4" collapsed="false">
      <c r="A22" s="57" t="s">
        <v>56</v>
      </c>
      <c r="B22" s="58" t="n">
        <f aca="false">D22+P22</f>
        <v>-12542</v>
      </c>
      <c r="C22" s="58"/>
      <c r="D22" s="62" t="n">
        <f aca="false">SUM(E22:K22)+L22+M22+N22</f>
        <v>-12255</v>
      </c>
      <c r="E22" s="62" t="n">
        <f aca="false">+SEPTYTD!E22-'AUGYTD '!E22</f>
        <v>-8960</v>
      </c>
      <c r="F22" s="62" t="n">
        <f aca="false">+SEPTYTD!F22-'AUGYTD '!F22</f>
        <v>-718</v>
      </c>
      <c r="G22" s="62" t="n">
        <f aca="false">+SEPTYTD!G22-'AUGYTD '!G22</f>
        <v>0</v>
      </c>
      <c r="H22" s="62" t="n">
        <f aca="false">+SEPTYTD!H22-'AUGYTD '!H22</f>
        <v>4</v>
      </c>
      <c r="I22" s="62" t="n">
        <f aca="false">+SEPTYTD!I22-'AUGYTD '!I22</f>
        <v>4</v>
      </c>
      <c r="J22" s="62" t="n">
        <f aca="false">+SEPTYTD!J22-'AUGYTD '!J22</f>
        <v>99</v>
      </c>
      <c r="K22" s="62" t="n">
        <f aca="false">+SEPTYTD!K22-'AUGYTD '!K22</f>
        <v>4</v>
      </c>
      <c r="L22" s="62" t="n">
        <f aca="false">+SEPTYTD!L22-'AUGYTD '!O22</f>
        <v>-1136</v>
      </c>
      <c r="M22" s="62" t="n">
        <f aca="false">+SEPTYTD!M22-'AUGYTD '!P22</f>
        <v>0</v>
      </c>
      <c r="N22" s="62" t="n">
        <f aca="false">+SEPTYTD!N22-'AUGYTD '!Q22</f>
        <v>-1552</v>
      </c>
      <c r="P22" s="62" t="n">
        <f aca="false">+SEPTYTD!P22-'AUGYTD '!S22</f>
        <v>-287</v>
      </c>
    </row>
    <row r="23" customFormat="false" ht="12.75" hidden="false" customHeight="true" outlineLevel="4" collapsed="false">
      <c r="A23" s="57" t="s">
        <v>58</v>
      </c>
      <c r="B23" s="58" t="n">
        <f aca="false">D23+P23</f>
        <v>-7517</v>
      </c>
      <c r="C23" s="58"/>
      <c r="D23" s="62" t="n">
        <f aca="false">SUM(E23:K23)+L23+M23+N23</f>
        <v>-7517</v>
      </c>
      <c r="E23" s="62" t="n">
        <f aca="false">+SEPTYTD!E23-'AUGYTD '!E23</f>
        <v>13243</v>
      </c>
      <c r="F23" s="62" t="n">
        <f aca="false">+SEPTYTD!F23-'AUGYTD '!F23</f>
        <v>-34996</v>
      </c>
      <c r="G23" s="62" t="n">
        <f aca="false">+SEPTYTD!G23-'AUGYTD '!G23</f>
        <v>0</v>
      </c>
      <c r="H23" s="62" t="n">
        <f aca="false">+SEPTYTD!H23-'AUGYTD '!H23</f>
        <v>-2237</v>
      </c>
      <c r="I23" s="62" t="n">
        <f aca="false">+SEPTYTD!I23-'AUGYTD '!I23</f>
        <v>18</v>
      </c>
      <c r="J23" s="62" t="n">
        <f aca="false">+SEPTYTD!J23-'AUGYTD '!J23</f>
        <v>646</v>
      </c>
      <c r="K23" s="62" t="n">
        <f aca="false">+SEPTYTD!K23-'AUGYTD '!K23</f>
        <v>-17</v>
      </c>
      <c r="L23" s="62" t="n">
        <f aca="false">+SEPTYTD!L23-'AUGYTD '!O23</f>
        <v>-7549</v>
      </c>
      <c r="M23" s="62" t="n">
        <f aca="false">+SEPTYTD!M23-'AUGYTD '!P23</f>
        <v>23225</v>
      </c>
      <c r="N23" s="62" t="n">
        <f aca="false">+SEPTYTD!N23-'AUGYTD '!Q23</f>
        <v>150</v>
      </c>
      <c r="P23" s="62" t="n">
        <f aca="false">+SEPTYTD!P23-'AUGYTD '!S23</f>
        <v>0</v>
      </c>
    </row>
    <row r="24" customFormat="false" ht="12.75" hidden="false" customHeight="true" outlineLevel="4" collapsed="false">
      <c r="A24" s="57" t="s">
        <v>60</v>
      </c>
      <c r="B24" s="58" t="n">
        <f aca="false">D24+P24</f>
        <v>58</v>
      </c>
      <c r="C24" s="58"/>
      <c r="D24" s="62" t="n">
        <f aca="false">SUM(E24:K24)+L24+M24+N24</f>
        <v>58</v>
      </c>
      <c r="E24" s="62" t="n">
        <f aca="false">+SEPTYTD!E24-'AUGYTD '!E24</f>
        <v>54</v>
      </c>
      <c r="F24" s="62" t="n">
        <f aca="false">+SEPTYTD!F24-'AUGYTD '!F24</f>
        <v>6</v>
      </c>
      <c r="G24" s="62" t="n">
        <f aca="false">+SEPTYTD!G24-'AUGYTD '!G24</f>
        <v>0</v>
      </c>
      <c r="H24" s="62" t="n">
        <f aca="false">+SEPTYTD!H24-'AUGYTD '!H24</f>
        <v>0</v>
      </c>
      <c r="I24" s="62" t="n">
        <f aca="false">+SEPTYTD!I24-'AUGYTD '!I24</f>
        <v>-2</v>
      </c>
      <c r="J24" s="62" t="n">
        <f aca="false">+SEPTYTD!J24-'AUGYTD '!J24</f>
        <v>0</v>
      </c>
      <c r="K24" s="62" t="n">
        <f aca="false">+SEPTYTD!K24-'AUGYTD '!K24</f>
        <v>0</v>
      </c>
      <c r="L24" s="62" t="n">
        <f aca="false">+SEPTYTD!L24-'AUGYTD '!O24</f>
        <v>0</v>
      </c>
      <c r="M24" s="62" t="n">
        <f aca="false">+SEPTYTD!M24-'AUGYTD '!P24</f>
        <v>0</v>
      </c>
      <c r="N24" s="62" t="n">
        <f aca="false">+SEPTYTD!N24-'AUGYTD '!Q24</f>
        <v>0</v>
      </c>
      <c r="P24" s="62" t="n">
        <f aca="false">+SEPTYTD!P24-'AUGYTD '!S24</f>
        <v>0</v>
      </c>
    </row>
    <row r="25" customFormat="false" ht="12.75" hidden="false" customHeight="true" outlineLevel="4" collapsed="false">
      <c r="A25" s="57" t="s">
        <v>61</v>
      </c>
      <c r="B25" s="58" t="n">
        <f aca="false">D25+P25</f>
        <v>1</v>
      </c>
      <c r="C25" s="58"/>
      <c r="D25" s="62" t="n">
        <f aca="false">SUM(E25:K25)+L25+M25+N25</f>
        <v>1</v>
      </c>
      <c r="E25" s="62" t="n">
        <f aca="false">+SEPTYTD!E25-'AUGYTD '!E25</f>
        <v>0</v>
      </c>
      <c r="F25" s="62" t="n">
        <f aca="false">+SEPTYTD!F25-'AUGYTD '!F25</f>
        <v>1</v>
      </c>
      <c r="G25" s="62" t="n">
        <f aca="false">+SEPTYTD!G25-'AUGYTD '!G25</f>
        <v>0</v>
      </c>
      <c r="H25" s="62" t="n">
        <f aca="false">+SEPTYTD!H25-'AUGYTD '!H25</f>
        <v>0</v>
      </c>
      <c r="I25" s="62" t="n">
        <f aca="false">+SEPTYTD!I25-'AUGYTD '!I25</f>
        <v>0</v>
      </c>
      <c r="J25" s="62" t="n">
        <f aca="false">+SEPTYTD!J25-'AUGYTD '!J25</f>
        <v>0</v>
      </c>
      <c r="K25" s="62" t="n">
        <f aca="false">+SEPTYTD!K25-'AUGYTD '!K25</f>
        <v>0</v>
      </c>
      <c r="L25" s="62" t="n">
        <f aca="false">+SEPTYTD!L25-'AUGYTD '!O25</f>
        <v>0</v>
      </c>
      <c r="M25" s="62" t="n">
        <f aca="false">+SEPTYTD!M25-'AUGYTD '!P25</f>
        <v>0</v>
      </c>
      <c r="N25" s="62" t="n">
        <f aca="false">+SEPTYTD!N25-'AUGYTD '!Q25</f>
        <v>0</v>
      </c>
      <c r="P25" s="62" t="n">
        <f aca="false">+SEPTYTD!P25-'AUGYTD '!S25</f>
        <v>0</v>
      </c>
    </row>
    <row r="26" customFormat="false" ht="12.75" hidden="false" customHeight="true" outlineLevel="4" collapsed="false">
      <c r="A26" s="57" t="s">
        <v>62</v>
      </c>
      <c r="B26" s="58" t="n">
        <f aca="false">D26+P26</f>
        <v>25093</v>
      </c>
      <c r="C26" s="58"/>
      <c r="D26" s="62" t="n">
        <f aca="false">SUM(E26:K26)+L26+M26+N26</f>
        <v>25092</v>
      </c>
      <c r="E26" s="62" t="n">
        <f aca="false">+SEPTYTD!E26-'AUGYTD '!E26</f>
        <v>-3034</v>
      </c>
      <c r="F26" s="62" t="n">
        <f aca="false">+SEPTYTD!F26-'AUGYTD '!F26</f>
        <v>23807</v>
      </c>
      <c r="G26" s="62" t="n">
        <f aca="false">+SEPTYTD!G26-'AUGYTD '!G26</f>
        <v>0</v>
      </c>
      <c r="H26" s="62" t="n">
        <f aca="false">+SEPTYTD!H26-'AUGYTD '!H26</f>
        <v>1022</v>
      </c>
      <c r="I26" s="62" t="n">
        <f aca="false">+SEPTYTD!I26-'AUGYTD '!I26</f>
        <v>3</v>
      </c>
      <c r="J26" s="62" t="n">
        <f aca="false">+SEPTYTD!J26-'AUGYTD '!J26</f>
        <v>-12</v>
      </c>
      <c r="K26" s="62" t="n">
        <f aca="false">+SEPTYTD!K26-'AUGYTD '!K26</f>
        <v>-2</v>
      </c>
      <c r="L26" s="62" t="n">
        <f aca="false">+SEPTYTD!L26-'AUGYTD '!O26</f>
        <v>-513</v>
      </c>
      <c r="M26" s="62" t="n">
        <f aca="false">+SEPTYTD!M26-'AUGYTD '!P26</f>
        <v>3798</v>
      </c>
      <c r="N26" s="62" t="n">
        <f aca="false">+SEPTYTD!N26-'AUGYTD '!Q26</f>
        <v>23</v>
      </c>
      <c r="P26" s="62" t="n">
        <f aca="false">+SEPTYTD!P26-'AUGYTD '!S26</f>
        <v>1</v>
      </c>
    </row>
    <row r="27" customFormat="false" ht="12.75" hidden="false" customHeight="true" outlineLevel="4" collapsed="false">
      <c r="A27" s="57" t="s">
        <v>104</v>
      </c>
      <c r="B27" s="58" t="n">
        <f aca="false">D27+P27</f>
        <v>2947</v>
      </c>
      <c r="C27" s="58"/>
      <c r="D27" s="62" t="n">
        <f aca="false">SUM(E27:K27)+L27+M27+N27</f>
        <v>2947</v>
      </c>
      <c r="E27" s="62" t="n">
        <f aca="false">+SEPTYTD!E27-'AUGYTD '!E27</f>
        <v>2446</v>
      </c>
      <c r="F27" s="62" t="n">
        <f aca="false">+SEPTYTD!F27-'AUGYTD '!F27</f>
        <v>501</v>
      </c>
      <c r="G27" s="62" t="n">
        <f aca="false">+SEPTYTD!G27-'AUGYTD '!G27</f>
        <v>0</v>
      </c>
      <c r="H27" s="62" t="n">
        <f aca="false">+SEPTYTD!H27-'AUGYTD '!H27</f>
        <v>0</v>
      </c>
      <c r="I27" s="62" t="n">
        <f aca="false">+SEPTYTD!I27-'AUGYTD '!I27</f>
        <v>0</v>
      </c>
      <c r="J27" s="62" t="n">
        <f aca="false">+SEPTYTD!J27-'AUGYTD '!J27</f>
        <v>0</v>
      </c>
      <c r="K27" s="62" t="n">
        <f aca="false">+SEPTYTD!K27-'AUGYTD '!K27</f>
        <v>0</v>
      </c>
      <c r="L27" s="62" t="n">
        <f aca="false">+SEPTYTD!L27-'AUGYTD '!O27</f>
        <v>0</v>
      </c>
      <c r="M27" s="62" t="n">
        <f aca="false">+SEPTYTD!M27-'AUGYTD '!P27</f>
        <v>0</v>
      </c>
      <c r="N27" s="62" t="n">
        <f aca="false">+SEPTYTD!N27-'AUGYTD '!Q27</f>
        <v>0</v>
      </c>
      <c r="P27" s="62" t="n">
        <f aca="false">+SEPTYTD!P27-'AUGYTD '!S27</f>
        <v>0</v>
      </c>
    </row>
    <row r="28" customFormat="false" ht="12.75" hidden="false" customHeight="true" outlineLevel="4" collapsed="false">
      <c r="A28" s="57" t="s">
        <v>64</v>
      </c>
      <c r="B28" s="58" t="n">
        <f aca="false">D28+P28</f>
        <v>610</v>
      </c>
      <c r="C28" s="58"/>
      <c r="D28" s="62" t="n">
        <f aca="false">SUM(E28:K28)+L28+M28+N28</f>
        <v>611</v>
      </c>
      <c r="E28" s="62" t="n">
        <f aca="false">+SEPTYTD!E28-'AUGYTD '!E28</f>
        <v>-763</v>
      </c>
      <c r="F28" s="62" t="n">
        <f aca="false">+SEPTYTD!F28-'AUGYTD '!F28</f>
        <v>937</v>
      </c>
      <c r="G28" s="62" t="n">
        <f aca="false">+SEPTYTD!G28-'AUGYTD '!G28</f>
        <v>0</v>
      </c>
      <c r="H28" s="62" t="n">
        <f aca="false">+SEPTYTD!H28-'AUGYTD '!H28</f>
        <v>0</v>
      </c>
      <c r="I28" s="62" t="n">
        <f aca="false">+SEPTYTD!I28-'AUGYTD '!I28</f>
        <v>0</v>
      </c>
      <c r="J28" s="62" t="n">
        <f aca="false">+SEPTYTD!J28-'AUGYTD '!J28</f>
        <v>0</v>
      </c>
      <c r="K28" s="62" t="n">
        <f aca="false">+SEPTYTD!K28-'AUGYTD '!K28</f>
        <v>0</v>
      </c>
      <c r="L28" s="62" t="n">
        <f aca="false">+SEPTYTD!L28-'AUGYTD '!O28</f>
        <v>435</v>
      </c>
      <c r="M28" s="62" t="n">
        <f aca="false">+SEPTYTD!M28-'AUGYTD '!P28</f>
        <v>0</v>
      </c>
      <c r="N28" s="62" t="n">
        <f aca="false">+SEPTYTD!N28-'AUGYTD '!Q28</f>
        <v>2</v>
      </c>
      <c r="P28" s="62" t="n">
        <f aca="false">+SEPTYTD!P28-'AUGYTD '!S28</f>
        <v>-1</v>
      </c>
    </row>
    <row r="29" customFormat="false" ht="12.75" hidden="false" customHeight="true" outlineLevel="4" collapsed="false">
      <c r="A29" s="57" t="s">
        <v>65</v>
      </c>
      <c r="B29" s="58" t="n">
        <f aca="false">D29+P29</f>
        <v>-1114</v>
      </c>
      <c r="C29" s="58"/>
      <c r="D29" s="62" t="n">
        <f aca="false">SUM(E29:K29)+L29+M29+N29</f>
        <v>-1114</v>
      </c>
      <c r="E29" s="62" t="n">
        <f aca="false">+SEPTYTD!E29-'AUGYTD '!E29</f>
        <v>-2187</v>
      </c>
      <c r="F29" s="62" t="n">
        <f aca="false">+SEPTYTD!F29-'AUGYTD '!F29</f>
        <v>1073</v>
      </c>
      <c r="G29" s="62" t="n">
        <f aca="false">+SEPTYTD!G29-'AUGYTD '!G29</f>
        <v>0</v>
      </c>
      <c r="H29" s="62" t="n">
        <f aca="false">+SEPTYTD!H29-'AUGYTD '!H29</f>
        <v>0</v>
      </c>
      <c r="I29" s="62" t="n">
        <f aca="false">+SEPTYTD!I29-'AUGYTD '!I29</f>
        <v>0</v>
      </c>
      <c r="J29" s="62" t="n">
        <f aca="false">+SEPTYTD!J29-'AUGYTD '!J29</f>
        <v>0</v>
      </c>
      <c r="K29" s="62" t="n">
        <f aca="false">+SEPTYTD!K29-'AUGYTD '!K29</f>
        <v>0</v>
      </c>
      <c r="L29" s="62" t="n">
        <f aca="false">+SEPTYTD!L29-'AUGYTD '!O29</f>
        <v>0</v>
      </c>
      <c r="M29" s="62" t="n">
        <f aca="false">+SEPTYTD!M29-'AUGYTD '!P29</f>
        <v>0</v>
      </c>
      <c r="N29" s="62" t="n">
        <f aca="false">+SEPTYTD!N29-'AUGYTD '!Q29</f>
        <v>0</v>
      </c>
      <c r="P29" s="62" t="n">
        <f aca="false">+SEPTYTD!P29-'AUGYTD '!S29</f>
        <v>0</v>
      </c>
    </row>
    <row r="30" customFormat="false" ht="12.75" hidden="false" customHeight="true" outlineLevel="4" collapsed="false">
      <c r="A30" s="57" t="s">
        <v>66</v>
      </c>
      <c r="B30" s="63" t="n">
        <f aca="false">D30+P30</f>
        <v>-1003</v>
      </c>
      <c r="C30" s="58"/>
      <c r="D30" s="62" t="n">
        <f aca="false">SUM(E30:K30)+L30+M30+N30</f>
        <v>-1003</v>
      </c>
      <c r="E30" s="62" t="n">
        <f aca="false">+SEPTYTD!E30-'AUGYTD '!E30</f>
        <v>194</v>
      </c>
      <c r="F30" s="62" t="n">
        <f aca="false">+SEPTYTD!F30-'AUGYTD '!F30</f>
        <v>-896</v>
      </c>
      <c r="G30" s="62" t="n">
        <f aca="false">+SEPTYTD!G30-'AUGYTD '!G30</f>
        <v>0</v>
      </c>
      <c r="H30" s="62" t="n">
        <f aca="false">+SEPTYTD!H30-'AUGYTD '!H30</f>
        <v>-59</v>
      </c>
      <c r="I30" s="62" t="n">
        <f aca="false">+SEPTYTD!I30-'AUGYTD '!I30</f>
        <v>0</v>
      </c>
      <c r="J30" s="62" t="n">
        <f aca="false">+SEPTYTD!J30-'AUGYTD '!J30</f>
        <v>-685</v>
      </c>
      <c r="K30" s="62" t="n">
        <f aca="false">+SEPTYTD!K30-'AUGYTD '!K30</f>
        <v>0</v>
      </c>
      <c r="L30" s="62" t="n">
        <f aca="false">+SEPTYTD!L30-'AUGYTD '!O30</f>
        <v>392</v>
      </c>
      <c r="M30" s="62" t="n">
        <f aca="false">+SEPTYTD!M30-'AUGYTD '!P30</f>
        <v>0</v>
      </c>
      <c r="N30" s="62" t="n">
        <f aca="false">+SEPTYTD!N30-'AUGYTD '!Q30</f>
        <v>51</v>
      </c>
      <c r="P30" s="62" t="n">
        <f aca="false">+SEPTYTD!P30-'AUGYTD '!S30</f>
        <v>0</v>
      </c>
    </row>
    <row r="31" customFormat="false" ht="12.75" hidden="false" customHeight="true" outlineLevel="4" collapsed="false">
      <c r="A31" s="57" t="s">
        <v>67</v>
      </c>
      <c r="B31" s="67" t="n">
        <f aca="false">SUM(B21:B30)</f>
        <v>6533</v>
      </c>
      <c r="C31" s="68"/>
      <c r="D31" s="67" t="n">
        <f aca="false">SUM(D21:D30)</f>
        <v>6820</v>
      </c>
      <c r="E31" s="67" t="n">
        <f aca="false">SUM(E21:E30)</f>
        <v>993</v>
      </c>
      <c r="F31" s="67" t="n">
        <f aca="false">SUM(F21:F30)</f>
        <v>-10285</v>
      </c>
      <c r="G31" s="67" t="n">
        <f aca="false">SUM(G21:G30)</f>
        <v>0</v>
      </c>
      <c r="H31" s="67" t="n">
        <f aca="false">SUM(H21:H30)</f>
        <v>-1270</v>
      </c>
      <c r="I31" s="67" t="n">
        <f aca="false">SUM(I21:I30)</f>
        <v>23</v>
      </c>
      <c r="J31" s="67" t="n">
        <f aca="false">SUM(J21:J30)</f>
        <v>48</v>
      </c>
      <c r="K31" s="67" t="n">
        <f aca="false">SUM(K21:K30)</f>
        <v>-15</v>
      </c>
      <c r="L31" s="67" t="n">
        <f aca="false">SUM(L21:L30)</f>
        <v>-8371</v>
      </c>
      <c r="M31" s="67" t="n">
        <f aca="false">SUM(M21:M30)</f>
        <v>27023</v>
      </c>
      <c r="N31" s="67" t="n">
        <f aca="false">SUM(N21:N30)</f>
        <v>-1326</v>
      </c>
      <c r="P31" s="67" t="n">
        <f aca="false">SUM(P21:P30)</f>
        <v>-287</v>
      </c>
    </row>
    <row r="32" customFormat="false" ht="12.75" hidden="false" customHeight="true" outlineLevel="4" collapsed="false">
      <c r="A32" s="57"/>
      <c r="B32" s="69"/>
      <c r="C32" s="68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42"/>
      <c r="P32" s="69"/>
    </row>
    <row r="33" customFormat="false" ht="12.75" hidden="false" customHeight="true" outlineLevel="3" collapsed="false">
      <c r="A33" s="57" t="s">
        <v>68</v>
      </c>
      <c r="B33" s="70" t="n">
        <f aca="false">B19+B31</f>
        <v>14532.831</v>
      </c>
      <c r="C33" s="58"/>
      <c r="D33" s="70" t="n">
        <f aca="false">D19+D31</f>
        <v>13355.315</v>
      </c>
      <c r="E33" s="70" t="n">
        <f aca="false">E19+E31</f>
        <v>-9458.41399999998</v>
      </c>
      <c r="F33" s="70" t="n">
        <f aca="false">F19+F31</f>
        <v>448.938000000022</v>
      </c>
      <c r="G33" s="70" t="n">
        <f aca="false">G19+G31</f>
        <v>0</v>
      </c>
      <c r="H33" s="70" t="n">
        <f aca="false">H19+H31</f>
        <v>-1313.451</v>
      </c>
      <c r="I33" s="70" t="n">
        <f aca="false">I19+I31</f>
        <v>8.821</v>
      </c>
      <c r="J33" s="70" t="n">
        <f aca="false">J19+J31</f>
        <v>454.242</v>
      </c>
      <c r="K33" s="70" t="n">
        <f aca="false">K19+K31</f>
        <v>54.878</v>
      </c>
      <c r="L33" s="70" t="n">
        <f aca="false">L19+L31</f>
        <v>-3495.27600000001</v>
      </c>
      <c r="M33" s="70" t="n">
        <f aca="false">M19+M31</f>
        <v>26735.957</v>
      </c>
      <c r="N33" s="70" t="n">
        <f aca="false">N19+N31</f>
        <v>-80.3800000000001</v>
      </c>
      <c r="P33" s="70" t="n">
        <f aca="false">P19+P31</f>
        <v>1177.516</v>
      </c>
    </row>
    <row r="34" customFormat="false" ht="12.75" hidden="false" customHeight="true" outlineLevel="3" collapsed="false">
      <c r="B34" s="58"/>
      <c r="C34" s="58"/>
    </row>
    <row r="35" customFormat="false" ht="12.75" hidden="false" customHeight="true" outlineLevel="3" collapsed="false">
      <c r="A35" s="61" t="s">
        <v>69</v>
      </c>
      <c r="B35" s="58"/>
      <c r="C35" s="58"/>
    </row>
    <row r="36" customFormat="false" ht="12.75" hidden="false" customHeight="true" outlineLevel="4" collapsed="false">
      <c r="A36" s="57" t="s">
        <v>70</v>
      </c>
      <c r="B36" s="58" t="n">
        <f aca="false">D36+P36</f>
        <v>15</v>
      </c>
      <c r="C36" s="58"/>
      <c r="D36" s="62" t="n">
        <f aca="false">SUM(E36:K36)+L36+M36+N36</f>
        <v>15</v>
      </c>
      <c r="E36" s="62" t="n">
        <f aca="false">+SEPTYTD!E36-'AUGYTD '!E36</f>
        <v>15</v>
      </c>
      <c r="F36" s="62" t="n">
        <f aca="false">+SEPTYTD!F36-'AUGYTD '!F36</f>
        <v>0</v>
      </c>
      <c r="G36" s="62" t="n">
        <f aca="false">+SEPTYTD!G36-'AUGYTD '!G36</f>
        <v>0</v>
      </c>
      <c r="H36" s="62" t="n">
        <f aca="false">+SEPTYTD!H36-'AUGYTD '!H36</f>
        <v>0</v>
      </c>
      <c r="I36" s="62" t="n">
        <f aca="false">+SEPTYTD!I36-'AUGYTD '!I36</f>
        <v>0</v>
      </c>
      <c r="J36" s="62" t="n">
        <f aca="false">+SEPTYTD!J36-'AUGYTD '!J36</f>
        <v>0</v>
      </c>
      <c r="K36" s="62" t="n">
        <f aca="false">+SEPTYTD!K36-'AUGYTD '!K36</f>
        <v>0</v>
      </c>
      <c r="L36" s="62" t="n">
        <f aca="false">+SEPTYTD!L36-'AUGYTD '!O36</f>
        <v>0</v>
      </c>
      <c r="M36" s="62" t="n">
        <f aca="false">+SEPTYTD!M36-'AUGYTD '!P36</f>
        <v>0</v>
      </c>
      <c r="N36" s="62" t="n">
        <f aca="false">+SEPTYTD!N36-'AUGYTD '!Q36</f>
        <v>0</v>
      </c>
      <c r="P36" s="62" t="n">
        <f aca="false">+SEPTYTD!P36-'AUGYTD '!S36</f>
        <v>0</v>
      </c>
    </row>
    <row r="37" customFormat="false" ht="12.75" hidden="false" customHeight="true" outlineLevel="4" collapsed="false">
      <c r="A37" s="57" t="s">
        <v>71</v>
      </c>
      <c r="B37" s="58" t="n">
        <f aca="false">D37+P37</f>
        <v>-13298</v>
      </c>
      <c r="C37" s="58"/>
      <c r="D37" s="62" t="n">
        <f aca="false">SUM(E37:K37)+L37+M37+N37</f>
        <v>-13298</v>
      </c>
      <c r="E37" s="62" t="n">
        <f aca="false">+SEPTYTD!E37-'AUGYTD '!E37</f>
        <v>-9498</v>
      </c>
      <c r="F37" s="62" t="n">
        <f aca="false">+SEPTYTD!F37-'AUGYTD '!F37</f>
        <v>-3800</v>
      </c>
      <c r="G37" s="62" t="n">
        <f aca="false">+SEPTYTD!G37-'AUGYTD '!G37</f>
        <v>0</v>
      </c>
      <c r="H37" s="62" t="n">
        <f aca="false">+SEPTYTD!H37-'AUGYTD '!H37</f>
        <v>0</v>
      </c>
      <c r="I37" s="62" t="n">
        <f aca="false">+SEPTYTD!I37-'AUGYTD '!I37</f>
        <v>0</v>
      </c>
      <c r="J37" s="62" t="n">
        <f aca="false">+SEPTYTD!J37-'AUGYTD '!J37</f>
        <v>0</v>
      </c>
      <c r="K37" s="62" t="n">
        <f aca="false">+SEPTYTD!K37-'AUGYTD '!K37</f>
        <v>0</v>
      </c>
      <c r="L37" s="62" t="n">
        <f aca="false">+SEPTYTD!L37-'AUGYTD '!O37</f>
        <v>0</v>
      </c>
      <c r="M37" s="62" t="n">
        <f aca="false">+SEPTYTD!M37-'AUGYTD '!P37</f>
        <v>0</v>
      </c>
      <c r="N37" s="62" t="n">
        <f aca="false">+SEPTYTD!N37-'AUGYTD '!Q37</f>
        <v>0</v>
      </c>
      <c r="P37" s="62" t="n">
        <f aca="false">+SEPTYTD!P37-'AUGYTD '!S37</f>
        <v>0</v>
      </c>
    </row>
    <row r="38" customFormat="false" ht="12.75" hidden="false" customHeight="true" outlineLevel="4" collapsed="false">
      <c r="A38" s="57" t="s">
        <v>105</v>
      </c>
      <c r="B38" s="58" t="n">
        <f aca="false">D38+P38</f>
        <v>10665</v>
      </c>
      <c r="C38" s="58"/>
      <c r="D38" s="62" t="n">
        <f aca="false">SUM(E38:K38)+L38+M38+N38</f>
        <v>10665</v>
      </c>
      <c r="E38" s="62" t="n">
        <f aca="false">+SEPTYTD!E38-'AUGYTD '!E38</f>
        <v>11276</v>
      </c>
      <c r="F38" s="62" t="n">
        <f aca="false">+SEPTYTD!F38-'AUGYTD '!F38</f>
        <v>-611</v>
      </c>
      <c r="G38" s="62" t="n">
        <f aca="false">+SEPTYTD!G38-'AUGYTD '!G38</f>
        <v>0</v>
      </c>
      <c r="H38" s="62" t="n">
        <f aca="false">+SEPTYTD!H38-'AUGYTD '!H38</f>
        <v>0</v>
      </c>
      <c r="I38" s="62" t="n">
        <f aca="false">+SEPTYTD!I38-'AUGYTD '!I38</f>
        <v>0</v>
      </c>
      <c r="J38" s="62" t="n">
        <f aca="false">+SEPTYTD!J38-'AUGYTD '!J38</f>
        <v>0</v>
      </c>
      <c r="K38" s="62" t="n">
        <f aca="false">+SEPTYTD!K38-'AUGYTD '!K38</f>
        <v>0</v>
      </c>
      <c r="L38" s="62" t="n">
        <f aca="false">+SEPTYTD!L38-'AUGYTD '!O38</f>
        <v>0</v>
      </c>
      <c r="M38" s="62" t="n">
        <f aca="false">+SEPTYTD!M38-'AUGYTD '!P38</f>
        <v>0</v>
      </c>
      <c r="N38" s="62" t="n">
        <f aca="false">+SEPTYTD!N38-'AUGYTD '!Q38</f>
        <v>0</v>
      </c>
      <c r="P38" s="62" t="n">
        <f aca="false">+SEPTYTD!P38-'AUGYTD '!S38</f>
        <v>0</v>
      </c>
    </row>
    <row r="39" customFormat="false" ht="12.75" hidden="false" customHeight="true" outlineLevel="4" collapsed="false">
      <c r="A39" s="57" t="s">
        <v>106</v>
      </c>
      <c r="B39" s="58" t="n">
        <f aca="false">D39+P39</f>
        <v>0</v>
      </c>
      <c r="C39" s="58"/>
      <c r="D39" s="62" t="n">
        <f aca="false">SUM(E39:K39)+L39+M39+N39</f>
        <v>0</v>
      </c>
      <c r="E39" s="62" t="n">
        <f aca="false">+SEPTYTD!E39-'AUGYTD '!E39</f>
        <v>0</v>
      </c>
      <c r="F39" s="62" t="n">
        <f aca="false">+SEPTYTD!F39-'AUGYTD '!F39</f>
        <v>0</v>
      </c>
      <c r="G39" s="62" t="n">
        <f aca="false">+SEPTYTD!G39-'AUGYTD '!G39</f>
        <v>0</v>
      </c>
      <c r="H39" s="62" t="n">
        <f aca="false">+SEPTYTD!H39-'AUGYTD '!H39</f>
        <v>0</v>
      </c>
      <c r="I39" s="62" t="n">
        <f aca="false">+SEPTYTD!I39-'AUGYTD '!I39</f>
        <v>0</v>
      </c>
      <c r="J39" s="62" t="n">
        <f aca="false">+SEPTYTD!J39-'AUGYTD '!J39</f>
        <v>0</v>
      </c>
      <c r="K39" s="62" t="n">
        <f aca="false">+SEPTYTD!K39-'AUGYTD '!K39</f>
        <v>0</v>
      </c>
      <c r="L39" s="62" t="n">
        <f aca="false">+SEPTYTD!L39-'AUGYTD '!O39</f>
        <v>0</v>
      </c>
      <c r="M39" s="62" t="n">
        <f aca="false">+SEPTYTD!M39-'AUGYTD '!P39</f>
        <v>0</v>
      </c>
      <c r="N39" s="62" t="n">
        <f aca="false">+SEPTYTD!N39-'AUGYTD '!Q39</f>
        <v>0</v>
      </c>
      <c r="P39" s="62" t="n">
        <f aca="false">+SEPTYTD!P39-'AUGYTD '!S39</f>
        <v>0</v>
      </c>
    </row>
    <row r="40" customFormat="false" ht="12.75" hidden="false" customHeight="true" outlineLevel="4" collapsed="false">
      <c r="A40" s="57" t="s">
        <v>76</v>
      </c>
      <c r="B40" s="58" t="n">
        <f aca="false">D40+P40</f>
        <v>0</v>
      </c>
      <c r="C40" s="58"/>
      <c r="D40" s="62" t="n">
        <f aca="false">SUM(E40:K40)+L40+M40+N40</f>
        <v>0</v>
      </c>
      <c r="E40" s="62" t="n">
        <f aca="false">+SEPTYTD!E40-'AUGYTD '!E40</f>
        <v>0</v>
      </c>
      <c r="F40" s="62" t="n">
        <f aca="false">+SEPTYTD!F40-'AUGYTD '!F40</f>
        <v>0</v>
      </c>
      <c r="G40" s="62" t="n">
        <f aca="false">+SEPTYTD!G40-'AUGYTD '!G40</f>
        <v>0</v>
      </c>
      <c r="H40" s="62" t="n">
        <f aca="false">+SEPTYTD!H40-'AUGYTD '!H40</f>
        <v>0</v>
      </c>
      <c r="I40" s="62" t="n">
        <f aca="false">+SEPTYTD!I40-'AUGYTD '!I40</f>
        <v>0</v>
      </c>
      <c r="J40" s="62" t="n">
        <f aca="false">+SEPTYTD!J40-'AUGYTD '!J40</f>
        <v>0</v>
      </c>
      <c r="K40" s="62" t="n">
        <f aca="false">+SEPTYTD!K40-'AUGYTD '!K40</f>
        <v>0</v>
      </c>
      <c r="L40" s="62" t="n">
        <f aca="false">+SEPTYTD!L40-'AUGYTD '!O40</f>
        <v>0</v>
      </c>
      <c r="M40" s="62" t="n">
        <f aca="false">+SEPTYTD!M40-'AUGYTD '!P40</f>
        <v>0</v>
      </c>
      <c r="N40" s="62" t="n">
        <f aca="false">+SEPTYTD!N40-'AUGYTD '!Q40</f>
        <v>0</v>
      </c>
      <c r="P40" s="62" t="n">
        <f aca="false">+SEPTYTD!P40-'AUGYTD '!S40</f>
        <v>0</v>
      </c>
    </row>
    <row r="41" customFormat="false" ht="12.75" hidden="false" customHeight="true" outlineLevel="4" collapsed="false">
      <c r="A41" s="57" t="s">
        <v>77</v>
      </c>
      <c r="B41" s="63" t="n">
        <f aca="false">D41+P41</f>
        <v>-55</v>
      </c>
      <c r="C41" s="58"/>
      <c r="D41" s="64" t="n">
        <f aca="false">SUM(E41:K41)+L41+M41+N41</f>
        <v>-55</v>
      </c>
      <c r="E41" s="64" t="n">
        <f aca="false">+SEPTYTD!E41-'AUGYTD '!E41</f>
        <v>-55</v>
      </c>
      <c r="F41" s="64" t="n">
        <f aca="false">+SEPTYTD!F41-'AUGYTD '!F41</f>
        <v>0</v>
      </c>
      <c r="G41" s="64" t="n">
        <f aca="false">+SEPTYTD!G41-'AUGYTD '!G41</f>
        <v>0</v>
      </c>
      <c r="H41" s="64" t="n">
        <f aca="false">+SEPTYTD!H41-'AUGYTD '!H41</f>
        <v>0</v>
      </c>
      <c r="I41" s="64" t="n">
        <f aca="false">+SEPTYTD!I41-'AUGYTD '!I41</f>
        <v>0</v>
      </c>
      <c r="J41" s="64" t="n">
        <f aca="false">+SEPTYTD!J41-'AUGYTD '!J41</f>
        <v>0</v>
      </c>
      <c r="K41" s="64" t="n">
        <f aca="false">+SEPTYTD!K41-'AUGYTD '!K41</f>
        <v>0</v>
      </c>
      <c r="L41" s="64" t="n">
        <f aca="false">+SEPTYTD!L41-'AUGYTD '!O41</f>
        <v>0</v>
      </c>
      <c r="M41" s="64" t="n">
        <f aca="false">+SEPTYTD!M41-'AUGYTD '!P41</f>
        <v>0</v>
      </c>
      <c r="N41" s="64" t="n">
        <f aca="false">+SEPTYTD!N41-'AUGYTD '!Q41</f>
        <v>0</v>
      </c>
      <c r="P41" s="64" t="n">
        <f aca="false">+SEPTYTD!P41-'AUGYTD '!S41</f>
        <v>0</v>
      </c>
    </row>
    <row r="42" customFormat="false" ht="12.75" hidden="false" customHeight="true" outlineLevel="3" collapsed="false">
      <c r="A42" s="57" t="s">
        <v>78</v>
      </c>
      <c r="B42" s="70" t="n">
        <f aca="false">SUM(B36:B41)</f>
        <v>-2673</v>
      </c>
      <c r="C42" s="71" t="n">
        <f aca="false">SUM(C36:C41)</f>
        <v>0</v>
      </c>
      <c r="D42" s="70" t="n">
        <f aca="false">SUM(D36:D41)</f>
        <v>-2673</v>
      </c>
      <c r="E42" s="70" t="n">
        <f aca="false">SUM(E36:E41)</f>
        <v>1738</v>
      </c>
      <c r="F42" s="70" t="n">
        <f aca="false">SUM(F36:F41)</f>
        <v>-4411</v>
      </c>
      <c r="G42" s="70" t="n">
        <f aca="false">SUM(G36:G41)</f>
        <v>0</v>
      </c>
      <c r="H42" s="70" t="n">
        <f aca="false">SUM(H36:H41)</f>
        <v>0</v>
      </c>
      <c r="I42" s="70" t="n">
        <f aca="false">SUM(I36:I41)</f>
        <v>0</v>
      </c>
      <c r="J42" s="70" t="n">
        <f aca="false">SUM(J36:J41)</f>
        <v>0</v>
      </c>
      <c r="K42" s="70" t="n">
        <f aca="false">SUM(K36:K41)</f>
        <v>0</v>
      </c>
      <c r="L42" s="70" t="n">
        <f aca="false">SUM(L36:L41)</f>
        <v>0</v>
      </c>
      <c r="M42" s="70" t="n">
        <f aca="false">SUM(M36:M41)</f>
        <v>0</v>
      </c>
      <c r="N42" s="70" t="n">
        <f aca="false">SUM(N36:N41)</f>
        <v>0</v>
      </c>
      <c r="P42" s="70" t="n">
        <f aca="false">SUM(P36:P41)</f>
        <v>0</v>
      </c>
    </row>
    <row r="43" customFormat="false" ht="12.75" hidden="false" customHeight="true" outlineLevel="3" collapsed="false">
      <c r="B43" s="58"/>
      <c r="C43" s="58"/>
    </row>
    <row r="44" customFormat="false" ht="12.75" hidden="false" customHeight="true" outlineLevel="3" collapsed="false">
      <c r="A44" s="61" t="s">
        <v>79</v>
      </c>
      <c r="B44" s="58"/>
      <c r="C44" s="58"/>
    </row>
    <row r="45" customFormat="false" ht="12.75" hidden="false" customHeight="true" outlineLevel="4" collapsed="false">
      <c r="A45" s="57" t="s">
        <v>80</v>
      </c>
      <c r="B45" s="58" t="n">
        <f aca="false">D45+P45</f>
        <v>0</v>
      </c>
      <c r="C45" s="58"/>
      <c r="D45" s="62" t="n">
        <f aca="false">SUM(E45:N45)</f>
        <v>0</v>
      </c>
      <c r="E45" s="62" t="n">
        <f aca="false">+SEPTYTD!E45-'AUGYTD '!E45</f>
        <v>0</v>
      </c>
      <c r="F45" s="62" t="n">
        <f aca="false">+SEPTYTD!F45-'AUGYTD '!F45</f>
        <v>0</v>
      </c>
      <c r="G45" s="62" t="n">
        <f aca="false">+SEPTYTD!G45-'AUGYTD '!G45</f>
        <v>0</v>
      </c>
      <c r="H45" s="62" t="n">
        <f aca="false">+SEPTYTD!H45-'AUGYTD '!H45</f>
        <v>0</v>
      </c>
      <c r="I45" s="62" t="n">
        <f aca="false">+SEPTYTD!I45-'AUGYTD '!I45</f>
        <v>0</v>
      </c>
      <c r="J45" s="62" t="n">
        <f aca="false">+SEPTYTD!J45-'AUGYTD '!J45</f>
        <v>0</v>
      </c>
      <c r="K45" s="62" t="n">
        <f aca="false">+SEPTYTD!K45-'AUGYTD '!K45</f>
        <v>0</v>
      </c>
      <c r="L45" s="62" t="n">
        <f aca="false">+SEPTYTD!L45-'AUGYTD '!O45</f>
        <v>0</v>
      </c>
      <c r="M45" s="62" t="n">
        <f aca="false">+SEPTYTD!M45-'AUGYTD '!P45</f>
        <v>0</v>
      </c>
      <c r="N45" s="62" t="n">
        <f aca="false">+SEPTYTD!N45-'AUGYTD '!Q45</f>
        <v>0</v>
      </c>
      <c r="P45" s="62" t="n">
        <f aca="false">+SEPTYTD!P45-'AUGYTD '!S45</f>
        <v>0</v>
      </c>
    </row>
    <row r="46" customFormat="false" ht="12.75" hidden="false" customHeight="true" outlineLevel="4" collapsed="false">
      <c r="A46" s="57" t="s">
        <v>81</v>
      </c>
      <c r="B46" s="58" t="n">
        <f aca="false">D46+P46</f>
        <v>0</v>
      </c>
      <c r="C46" s="58"/>
      <c r="D46" s="62" t="n">
        <f aca="false">SUM(E46:K46)+L46+M46+N46</f>
        <v>0</v>
      </c>
      <c r="E46" s="62" t="n">
        <f aca="false">+SEPTYTD!E46-'AUGYTD '!E46</f>
        <v>0</v>
      </c>
      <c r="F46" s="62" t="n">
        <f aca="false">+SEPTYTD!F46-'AUGYTD '!F46</f>
        <v>0</v>
      </c>
      <c r="G46" s="62" t="n">
        <f aca="false">+SEPTYTD!G46-'AUGYTD '!G46</f>
        <v>0</v>
      </c>
      <c r="H46" s="62" t="n">
        <f aca="false">+SEPTYTD!H46-'AUGYTD '!H46</f>
        <v>0</v>
      </c>
      <c r="I46" s="62" t="n">
        <f aca="false">+SEPTYTD!I46-'AUGYTD '!I46</f>
        <v>0</v>
      </c>
      <c r="J46" s="62" t="n">
        <f aca="false">+SEPTYTD!J46-'AUGYTD '!J46</f>
        <v>0</v>
      </c>
      <c r="K46" s="62" t="n">
        <f aca="false">+SEPTYTD!K46-'AUGYTD '!K46</f>
        <v>0</v>
      </c>
      <c r="L46" s="62" t="n">
        <f aca="false">+SEPTYTD!L46-'AUGYTD '!O46</f>
        <v>0</v>
      </c>
      <c r="M46" s="62" t="n">
        <f aca="false">+SEPTYTD!M46-'AUGYTD '!P46</f>
        <v>0</v>
      </c>
      <c r="N46" s="62" t="n">
        <f aca="false">+SEPTYTD!N46-'AUGYTD '!Q46</f>
        <v>0</v>
      </c>
      <c r="P46" s="62" t="n">
        <f aca="false">+SEPTYTD!P46-'AUGYTD '!S46</f>
        <v>0</v>
      </c>
    </row>
    <row r="47" customFormat="false" ht="12.75" hidden="false" customHeight="true" outlineLevel="4" collapsed="false">
      <c r="A47" s="57" t="s">
        <v>83</v>
      </c>
      <c r="B47" s="58" t="n">
        <f aca="false">D47+P47</f>
        <v>0</v>
      </c>
      <c r="C47" s="58"/>
      <c r="D47" s="62" t="n">
        <f aca="false">SUM(E47:N47)</f>
        <v>0</v>
      </c>
      <c r="E47" s="62" t="n">
        <f aca="false">+SEPTYTD!E47-'AUGYTD '!E47</f>
        <v>0</v>
      </c>
      <c r="F47" s="62" t="n">
        <f aca="false">+SEPTYTD!F47-'AUGYTD '!F47</f>
        <v>0</v>
      </c>
      <c r="G47" s="62" t="n">
        <f aca="false">+SEPTYTD!G47-'AUGYTD '!G47</f>
        <v>0</v>
      </c>
      <c r="H47" s="62" t="n">
        <f aca="false">+SEPTYTD!H47-'AUGYTD '!H47</f>
        <v>0</v>
      </c>
      <c r="I47" s="62" t="n">
        <f aca="false">+SEPTYTD!I47-'AUGYTD '!I47</f>
        <v>0</v>
      </c>
      <c r="J47" s="62" t="n">
        <f aca="false">+SEPTYTD!J47-'AUGYTD '!J47</f>
        <v>0</v>
      </c>
      <c r="K47" s="62" t="n">
        <f aca="false">+SEPTYTD!K47-'AUGYTD '!K47</f>
        <v>0</v>
      </c>
      <c r="L47" s="62" t="n">
        <f aca="false">+SEPTYTD!L47-'AUGYTD '!O47</f>
        <v>0</v>
      </c>
      <c r="M47" s="62" t="n">
        <f aca="false">+SEPTYTD!M47-'AUGYTD '!P47</f>
        <v>0</v>
      </c>
      <c r="N47" s="62" t="n">
        <f aca="false">+SEPTYTD!N47-'AUGYTD '!Q47</f>
        <v>0</v>
      </c>
      <c r="P47" s="62" t="n">
        <f aca="false">+SEPTYTD!P47-'AUGYTD '!S47</f>
        <v>0</v>
      </c>
    </row>
    <row r="48" customFormat="false" ht="12.75" hidden="false" customHeight="true" outlineLevel="4" collapsed="false">
      <c r="A48" s="57" t="s">
        <v>84</v>
      </c>
      <c r="B48" s="58" t="n">
        <f aca="false">D48+P48</f>
        <v>0</v>
      </c>
      <c r="C48" s="58"/>
      <c r="D48" s="62" t="n">
        <f aca="false">SUM(E48:K48)+L48+M48+N48</f>
        <v>0</v>
      </c>
      <c r="E48" s="62" t="n">
        <f aca="false">+SEPTYTD!E48-'AUGYTD '!E48</f>
        <v>0</v>
      </c>
      <c r="F48" s="62" t="n">
        <f aca="false">+SEPTYTD!F48-'AUGYTD '!F48</f>
        <v>0</v>
      </c>
      <c r="G48" s="62" t="n">
        <f aca="false">+SEPTYTD!G48-'AUGYTD '!G48</f>
        <v>0</v>
      </c>
      <c r="H48" s="62" t="n">
        <f aca="false">+SEPTYTD!H48-'AUGYTD '!H48</f>
        <v>0</v>
      </c>
      <c r="I48" s="62" t="n">
        <f aca="false">+SEPTYTD!I48-'AUGYTD '!I48</f>
        <v>0</v>
      </c>
      <c r="J48" s="62" t="n">
        <f aca="false">+SEPTYTD!J48-'AUGYTD '!J48</f>
        <v>0</v>
      </c>
      <c r="K48" s="62" t="n">
        <f aca="false">+SEPTYTD!K48-'AUGYTD '!K48</f>
        <v>0</v>
      </c>
      <c r="L48" s="62" t="n">
        <f aca="false">+SEPTYTD!L48-'AUGYTD '!O48</f>
        <v>0</v>
      </c>
      <c r="M48" s="62" t="n">
        <f aca="false">+SEPTYTD!M48-'AUGYTD '!P48</f>
        <v>0</v>
      </c>
      <c r="N48" s="62" t="n">
        <f aca="false">+SEPTYTD!N48-'AUGYTD '!Q48</f>
        <v>0</v>
      </c>
      <c r="P48" s="62" t="n">
        <f aca="false">+SEPTYTD!P48-'AUGYTD '!S48</f>
        <v>0</v>
      </c>
    </row>
    <row r="49" customFormat="false" ht="12.75" hidden="false" customHeight="true" outlineLevel="4" collapsed="false">
      <c r="A49" s="57" t="s">
        <v>107</v>
      </c>
      <c r="B49" s="58" t="n">
        <f aca="false">D49+P49</f>
        <v>0</v>
      </c>
      <c r="C49" s="58"/>
      <c r="D49" s="62" t="n">
        <f aca="false">SUM(E49:N49)</f>
        <v>0</v>
      </c>
      <c r="E49" s="62" t="n">
        <f aca="false">+SEPTYTD!E49-'AUGYTD '!E49</f>
        <v>0</v>
      </c>
      <c r="F49" s="62" t="n">
        <f aca="false">+SEPTYTD!F49-'AUGYTD '!F49</f>
        <v>0</v>
      </c>
      <c r="G49" s="62" t="n">
        <f aca="false">+SEPTYTD!G49-'AUGYTD '!G49</f>
        <v>0</v>
      </c>
      <c r="H49" s="62" t="n">
        <f aca="false">+SEPTYTD!H49-'AUGYTD '!H49</f>
        <v>0</v>
      </c>
      <c r="I49" s="62" t="n">
        <f aca="false">+SEPTYTD!I49-'AUGYTD '!I49</f>
        <v>0</v>
      </c>
      <c r="J49" s="62" t="n">
        <f aca="false">+SEPTYTD!J49-'AUGYTD '!J49</f>
        <v>0</v>
      </c>
      <c r="K49" s="62" t="n">
        <f aca="false">+SEPTYTD!K49-'AUGYTD '!K49</f>
        <v>0</v>
      </c>
      <c r="L49" s="62" t="n">
        <f aca="false">+SEPTYTD!L49-'AUGYTD '!O49</f>
        <v>0</v>
      </c>
      <c r="M49" s="62" t="n">
        <f aca="false">+SEPTYTD!M49-'AUGYTD '!P49</f>
        <v>0</v>
      </c>
      <c r="N49" s="62" t="n">
        <f aca="false">+SEPTYTD!N49-'AUGYTD '!Q49</f>
        <v>0</v>
      </c>
      <c r="P49" s="62" t="n">
        <f aca="false">+SEPTYTD!P49-'AUGYTD '!S49</f>
        <v>0</v>
      </c>
    </row>
    <row r="50" customFormat="false" ht="12.75" hidden="false" customHeight="true" outlineLevel="3" collapsed="false">
      <c r="A50" s="57" t="s">
        <v>86</v>
      </c>
      <c r="B50" s="72" t="n">
        <f aca="false">SUM(B45:B49)</f>
        <v>0</v>
      </c>
      <c r="C50" s="58"/>
      <c r="D50" s="72" t="n">
        <f aca="false">SUM(D45:D49)</f>
        <v>0</v>
      </c>
      <c r="E50" s="72" t="n">
        <f aca="false">SUM(E45:E49)</f>
        <v>0</v>
      </c>
      <c r="F50" s="72" t="n">
        <f aca="false">SUM(F45:F49)</f>
        <v>0</v>
      </c>
      <c r="G50" s="72" t="n">
        <f aca="false">SUM(G45:G49)</f>
        <v>0</v>
      </c>
      <c r="H50" s="72" t="n">
        <f aca="false">SUM(H45:H49)</f>
        <v>0</v>
      </c>
      <c r="I50" s="72" t="n">
        <f aca="false">SUM(I45:I49)</f>
        <v>0</v>
      </c>
      <c r="J50" s="72" t="n">
        <f aca="false">SUM(J45:J49)</f>
        <v>0</v>
      </c>
      <c r="K50" s="72" t="n">
        <f aca="false">SUM(K45:K49)</f>
        <v>0</v>
      </c>
      <c r="L50" s="72" t="n">
        <f aca="false">SUM(L45:L49)</f>
        <v>0</v>
      </c>
      <c r="M50" s="72" t="n">
        <f aca="false">SUM(M45:M49)</f>
        <v>0</v>
      </c>
      <c r="N50" s="72" t="n">
        <f aca="false">SUM(N45:N49)</f>
        <v>0</v>
      </c>
      <c r="P50" s="72" t="n">
        <f aca="false">SUM(P45:P49)</f>
        <v>0</v>
      </c>
    </row>
    <row r="51" customFormat="false" ht="12.75" hidden="false" customHeight="true" outlineLevel="3" collapsed="false">
      <c r="A51" s="57"/>
      <c r="B51" s="71"/>
      <c r="C51" s="58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P51" s="71"/>
    </row>
    <row r="52" customFormat="false" ht="12.75" hidden="false" customHeight="true" outlineLevel="2" collapsed="false">
      <c r="A52" s="57" t="s">
        <v>87</v>
      </c>
      <c r="B52" s="71" t="n">
        <f aca="false">B33+B42+B50</f>
        <v>11859.831</v>
      </c>
      <c r="C52" s="58"/>
      <c r="D52" s="71" t="n">
        <f aca="false">D33+D42+D50</f>
        <v>10682.315</v>
      </c>
      <c r="E52" s="71" t="n">
        <f aca="false">E33+E42+E50</f>
        <v>-7720.41399999998</v>
      </c>
      <c r="F52" s="71" t="n">
        <f aca="false">F33+F42+F50</f>
        <v>-3962.06199999998</v>
      </c>
      <c r="G52" s="71" t="n">
        <f aca="false">G33+G42+G50</f>
        <v>0</v>
      </c>
      <c r="H52" s="71" t="n">
        <f aca="false">H33+H42+H50</f>
        <v>-1313.451</v>
      </c>
      <c r="I52" s="71" t="n">
        <f aca="false">I33+I42+I50</f>
        <v>8.821</v>
      </c>
      <c r="J52" s="71" t="n">
        <f aca="false">J33+J42+J50</f>
        <v>454.242</v>
      </c>
      <c r="K52" s="71" t="n">
        <f aca="false">K33+K42+K50</f>
        <v>54.878</v>
      </c>
      <c r="L52" s="71" t="n">
        <f aca="false">L33+L42+L50</f>
        <v>-3495.27600000001</v>
      </c>
      <c r="M52" s="71" t="n">
        <f aca="false">M33+M42+M50</f>
        <v>26735.957</v>
      </c>
      <c r="N52" s="71" t="n">
        <f aca="false">N33+N42+N50</f>
        <v>-80.3800000000001</v>
      </c>
      <c r="P52" s="71" t="n">
        <f aca="false">P33+P42+P50</f>
        <v>1177.516</v>
      </c>
    </row>
    <row r="53" customFormat="false" ht="12.75" hidden="false" customHeight="true" outlineLevel="2" collapsed="false">
      <c r="A53" s="57"/>
      <c r="B53" s="71"/>
      <c r="C53" s="58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P53" s="71"/>
    </row>
    <row r="54" customFormat="false" ht="12.75" hidden="false" customHeight="true" outlineLevel="2" collapsed="false">
      <c r="A54" s="57" t="s">
        <v>88</v>
      </c>
      <c r="B54" s="63" t="n">
        <f aca="false">D54+P54</f>
        <v>-357</v>
      </c>
      <c r="C54" s="58"/>
      <c r="D54" s="64" t="n">
        <f aca="false">SUM(E54:K54)+L54+M54+N54</f>
        <v>-5</v>
      </c>
      <c r="E54" s="64" t="n">
        <f aca="false">+SEPTYTD!E54-'AUGYTD '!E54</f>
        <v>0</v>
      </c>
      <c r="F54" s="64" t="n">
        <f aca="false">+SEPTYTD!F54-'AUGYTD '!F54</f>
        <v>0</v>
      </c>
      <c r="G54" s="64" t="n">
        <f aca="false">+SEPTYTD!G54-'AUGYTD '!G54</f>
        <v>0</v>
      </c>
      <c r="H54" s="64" t="n">
        <f aca="false">+SEPTYTD!H54-'AUGYTD '!H54</f>
        <v>0</v>
      </c>
      <c r="I54" s="64" t="n">
        <f aca="false">+SEPTYTD!I54-'AUGYTD '!I54</f>
        <v>0</v>
      </c>
      <c r="J54" s="64" t="n">
        <f aca="false">+SEPTYTD!J54-'AUGYTD '!J54</f>
        <v>0</v>
      </c>
      <c r="K54" s="64" t="n">
        <f aca="false">+SEPTYTD!K54-'AUGYTD '!K54</f>
        <v>0</v>
      </c>
      <c r="L54" s="64" t="n">
        <f aca="false">+SEPTYTD!L54-'AUGYTD '!O54</f>
        <v>0</v>
      </c>
      <c r="M54" s="64" t="n">
        <f aca="false">+SEPTYTD!M54-'AUGYTD '!P54</f>
        <v>0</v>
      </c>
      <c r="N54" s="64" t="n">
        <f aca="false">+SEPTYTD!N54-'AUGYTD '!Q54</f>
        <v>-5</v>
      </c>
      <c r="P54" s="64" t="n">
        <f aca="false">+SEPTYTD!P54-'AUGYTD '!S54</f>
        <v>-352</v>
      </c>
    </row>
    <row r="55" customFormat="false" ht="12.75" hidden="false" customHeight="true" outlineLevel="2" collapsed="false">
      <c r="A55" s="57"/>
      <c r="B55" s="58"/>
      <c r="C55" s="58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P55" s="73"/>
    </row>
    <row r="56" customFormat="false" ht="12.75" hidden="false" customHeight="true" outlineLevel="1" collapsed="false">
      <c r="A56" s="57" t="s">
        <v>89</v>
      </c>
      <c r="B56" s="74" t="n">
        <f aca="false">B52-B54</f>
        <v>12216.831</v>
      </c>
      <c r="C56" s="58"/>
      <c r="D56" s="74" t="n">
        <f aca="false">D52-D54</f>
        <v>10687.315</v>
      </c>
      <c r="E56" s="74" t="n">
        <f aca="false">E52-E54</f>
        <v>-7720.41399999998</v>
      </c>
      <c r="F56" s="74" t="n">
        <f aca="false">F52-F54</f>
        <v>-3962.06199999998</v>
      </c>
      <c r="G56" s="74" t="n">
        <f aca="false">G52-G54</f>
        <v>0</v>
      </c>
      <c r="H56" s="74" t="n">
        <f aca="false">H52-H54</f>
        <v>-1313.451</v>
      </c>
      <c r="I56" s="74" t="n">
        <f aca="false">I52-I54</f>
        <v>8.821</v>
      </c>
      <c r="J56" s="74" t="n">
        <f aca="false">J52-J54</f>
        <v>454.242</v>
      </c>
      <c r="K56" s="74" t="n">
        <f aca="false">K52-K54</f>
        <v>54.878</v>
      </c>
      <c r="L56" s="74" t="n">
        <f aca="false">L52-L54</f>
        <v>-3495.27600000001</v>
      </c>
      <c r="M56" s="74" t="n">
        <f aca="false">M52-M54</f>
        <v>26735.957</v>
      </c>
      <c r="N56" s="74" t="n">
        <f aca="false">N52-N54</f>
        <v>-75.3800000000001</v>
      </c>
      <c r="P56" s="74" t="n">
        <f aca="false">P52-P54</f>
        <v>1529.516</v>
      </c>
    </row>
    <row r="57" customFormat="false" ht="12.75" hidden="false" customHeight="true" outlineLevel="1" collapsed="false">
      <c r="B57" s="42"/>
      <c r="C57" s="42"/>
    </row>
    <row r="58" customFormat="false" ht="12.75" hidden="false" customHeight="true" outlineLevel="0" collapsed="false">
      <c r="A58" s="40" t="s">
        <v>90</v>
      </c>
      <c r="B58" s="64" t="n">
        <f aca="false">D58+P58</f>
        <v>-6</v>
      </c>
      <c r="C58" s="42"/>
      <c r="D58" s="64" t="n">
        <f aca="false">SUM(E58:N58)</f>
        <v>-6</v>
      </c>
      <c r="E58" s="64" t="n">
        <f aca="false">+SEPTYTD!E58-'AUGYTD '!E58</f>
        <v>-6</v>
      </c>
      <c r="F58" s="64" t="n">
        <f aca="false">+SEPTYTD!F58-'AUGYTD '!F58</f>
        <v>0</v>
      </c>
      <c r="G58" s="64" t="n">
        <f aca="false">+SEPTYTD!G58-'AUGYTD '!G58</f>
        <v>0</v>
      </c>
      <c r="H58" s="64" t="n">
        <f aca="false">+SEPTYTD!H58-'AUGYTD '!H58</f>
        <v>0</v>
      </c>
      <c r="I58" s="64" t="n">
        <f aca="false">+SEPTYTD!I58-'AUGYTD '!I58</f>
        <v>0</v>
      </c>
      <c r="J58" s="64" t="n">
        <f aca="false">+SEPTYTD!J58-'AUGYTD '!J58</f>
        <v>0</v>
      </c>
      <c r="K58" s="64" t="n">
        <f aca="false">+SEPTYTD!K58-'AUGYTD '!K58</f>
        <v>0</v>
      </c>
      <c r="L58" s="64" t="n">
        <f aca="false">+SEPTYTD!L58-'AUGYTD '!O58</f>
        <v>0</v>
      </c>
      <c r="M58" s="64" t="n">
        <f aca="false">+SEPTYTD!M58-'AUGYTD '!P58</f>
        <v>0</v>
      </c>
      <c r="N58" s="64" t="n">
        <f aca="false">+SEPTYTD!N58-'AUGYTD '!Q58</f>
        <v>0</v>
      </c>
      <c r="P58" s="64" t="n">
        <f aca="false">+SEPTYTD!P58-'AUGYTD '!S58</f>
        <v>0</v>
      </c>
    </row>
    <row r="59" customFormat="false" ht="12.75" hidden="false" customHeight="true" outlineLevel="0" collapsed="false">
      <c r="B59" s="42"/>
      <c r="C59" s="42"/>
    </row>
    <row r="60" customFormat="false" ht="12.75" hidden="false" customHeight="true" outlineLevel="0" collapsed="false">
      <c r="A60" s="40" t="s">
        <v>91</v>
      </c>
      <c r="B60" s="74" t="n">
        <f aca="false">B56+B58</f>
        <v>12210.831</v>
      </c>
      <c r="C60" s="42"/>
      <c r="D60" s="74" t="n">
        <f aca="false">D56+D58</f>
        <v>10681.315</v>
      </c>
      <c r="E60" s="74" t="n">
        <f aca="false">E56+E58</f>
        <v>-7726.41399999998</v>
      </c>
      <c r="F60" s="74" t="n">
        <f aca="false">F56+F58</f>
        <v>-3962.06199999998</v>
      </c>
      <c r="G60" s="74" t="n">
        <f aca="false">G56+G58</f>
        <v>0</v>
      </c>
      <c r="H60" s="74" t="n">
        <f aca="false">H56+H58</f>
        <v>-1313.451</v>
      </c>
      <c r="I60" s="74" t="n">
        <f aca="false">I56+I58</f>
        <v>8.821</v>
      </c>
      <c r="J60" s="74" t="n">
        <f aca="false">J56+J58</f>
        <v>454.242</v>
      </c>
      <c r="K60" s="74" t="n">
        <f aca="false">K56+K58</f>
        <v>54.878</v>
      </c>
      <c r="L60" s="74" t="n">
        <f aca="false">L56+L58</f>
        <v>-3495.27600000001</v>
      </c>
      <c r="M60" s="74" t="n">
        <f aca="false">M56+M58</f>
        <v>26735.957</v>
      </c>
      <c r="N60" s="74" t="n">
        <f aca="false">N56+N58</f>
        <v>-75.3800000000001</v>
      </c>
      <c r="P60" s="74" t="n">
        <f aca="false">P56+P58</f>
        <v>1529.516</v>
      </c>
    </row>
    <row r="61" customFormat="false" ht="12.75" hidden="false" customHeight="true" outlineLevel="0" collapsed="false">
      <c r="B61" s="42"/>
      <c r="C61" s="42"/>
    </row>
    <row r="62" customFormat="false" ht="12.75" hidden="false" customHeight="true" outlineLevel="0" collapsed="false">
      <c r="B62" s="42"/>
      <c r="C62" s="42"/>
    </row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540277777777778" bottom="0.24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78"/>
  <sheetViews>
    <sheetView showFormulas="false" showGridLines="true" showRowColHeaders="true" showZeros="true" rightToLeft="false" tabSelected="false" showOutlineSymbols="true" defaultGridColor="true" view="normal" topLeftCell="B4" colorId="64" zoomScale="100" zoomScaleNormal="100" zoomScalePageLayoutView="100" workbookViewId="0">
      <selection pane="topLeft" activeCell="H35" activeCellId="0" sqref="H35"/>
    </sheetView>
  </sheetViews>
  <sheetFormatPr defaultColWidth="8.9921875" defaultRowHeight="12.75" customHeight="true" zeroHeight="false" outlineLevelRow="4" outlineLevelCol="0"/>
  <cols>
    <col collapsed="false" customWidth="true" hidden="false" outlineLevel="0" max="1" min="1" style="40" width="61.82"/>
    <col collapsed="false" customWidth="true" hidden="false" outlineLevel="0" max="2" min="2" style="40" width="14.49"/>
    <col collapsed="false" customWidth="true" hidden="false" outlineLevel="0" max="3" min="3" style="40" width="1.82"/>
    <col collapsed="false" customWidth="true" hidden="false" outlineLevel="0" max="4" min="4" style="40" width="11.82"/>
    <col collapsed="false" customWidth="true" hidden="false" outlineLevel="0" max="5" min="5" style="40" width="10.65"/>
    <col collapsed="false" customWidth="true" hidden="false" outlineLevel="0" max="6" min="6" style="40" width="10.82"/>
    <col collapsed="false" customWidth="true" hidden="false" outlineLevel="0" max="7" min="7" style="40" width="12.82"/>
    <col collapsed="false" customWidth="true" hidden="false" outlineLevel="0" max="10" min="8" style="40" width="10.82"/>
    <col collapsed="false" customWidth="true" hidden="false" outlineLevel="0" max="11" min="11" style="40" width="10.49"/>
    <col collapsed="false" customWidth="true" hidden="false" outlineLevel="0" max="13" min="12" style="40" width="12.16"/>
    <col collapsed="false" customWidth="true" hidden="false" outlineLevel="0" max="14" min="14" style="40" width="10.82"/>
    <col collapsed="false" customWidth="true" hidden="false" outlineLevel="0" max="15" min="15" style="40" width="3.65"/>
    <col collapsed="false" customWidth="true" hidden="false" outlineLevel="0" max="16" min="16" style="40" width="10.65"/>
    <col collapsed="false" customWidth="false" hidden="false" outlineLevel="0" max="257" min="17" style="40" width="8.99"/>
  </cols>
  <sheetData>
    <row r="1" customFormat="false" ht="12.75" hidden="false" customHeight="true" outlineLevel="0" collapsed="false">
      <c r="A1" s="41" t="s">
        <v>18</v>
      </c>
      <c r="B1" s="42"/>
      <c r="C1" s="42"/>
      <c r="D1" s="42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customFormat="false" ht="12.75" hidden="false" customHeight="true" outlineLevel="0" collapsed="false">
      <c r="A2" s="44" t="s">
        <v>19</v>
      </c>
      <c r="D2" s="45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customFormat="false" ht="12.75" hidden="false" customHeight="true" outlineLevel="0" collapsed="false">
      <c r="A3" s="47" t="s">
        <v>108</v>
      </c>
      <c r="B3" s="42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</row>
    <row r="4" customFormat="false" ht="12.75" hidden="false" customHeight="true" outlineLevel="0" collapsed="false">
      <c r="A4" s="42"/>
      <c r="B4" s="49" t="s">
        <v>97</v>
      </c>
      <c r="C4" s="50"/>
      <c r="D4" s="51"/>
      <c r="I4" s="52" t="s">
        <v>98</v>
      </c>
      <c r="J4" s="52" t="s">
        <v>28</v>
      </c>
      <c r="K4" s="52" t="s">
        <v>29</v>
      </c>
      <c r="L4" s="52" t="s">
        <v>32</v>
      </c>
      <c r="M4" s="52" t="s">
        <v>99</v>
      </c>
      <c r="P4" s="53" t="s">
        <v>21</v>
      </c>
    </row>
    <row r="5" customFormat="false" ht="12.75" hidden="false" customHeight="true" outlineLevel="0" collapsed="false">
      <c r="A5" s="54" t="s">
        <v>34</v>
      </c>
      <c r="B5" s="55" t="s">
        <v>100</v>
      </c>
      <c r="C5" s="52"/>
      <c r="D5" s="51" t="s">
        <v>35</v>
      </c>
      <c r="E5" s="51" t="s">
        <v>22</v>
      </c>
      <c r="F5" s="51" t="s">
        <v>23</v>
      </c>
      <c r="G5" s="51" t="s">
        <v>24</v>
      </c>
      <c r="H5" s="51" t="s">
        <v>25</v>
      </c>
      <c r="I5" s="51" t="n">
        <v>543</v>
      </c>
      <c r="J5" s="51" t="n">
        <v>584</v>
      </c>
      <c r="K5" s="51" t="n">
        <v>583</v>
      </c>
      <c r="L5" s="51" t="s">
        <v>38</v>
      </c>
      <c r="M5" s="51" t="s">
        <v>101</v>
      </c>
      <c r="N5" s="51" t="s">
        <v>33</v>
      </c>
      <c r="P5" s="56" t="s">
        <v>102</v>
      </c>
    </row>
    <row r="6" customFormat="false" ht="12.75" hidden="false" customHeight="true" outlineLevel="2" collapsed="false">
      <c r="A6" s="57"/>
      <c r="B6" s="58"/>
      <c r="C6" s="58"/>
      <c r="D6" s="59"/>
      <c r="E6" s="60"/>
      <c r="F6" s="60"/>
      <c r="G6" s="60"/>
      <c r="H6" s="60"/>
      <c r="I6" s="60"/>
      <c r="J6" s="60"/>
      <c r="K6" s="60"/>
      <c r="L6" s="60"/>
      <c r="M6" s="60"/>
      <c r="N6" s="60"/>
    </row>
    <row r="7" customFormat="false" ht="12.75" hidden="false" customHeight="true" outlineLevel="4" collapsed="false">
      <c r="A7" s="61" t="s">
        <v>39</v>
      </c>
      <c r="B7" s="58"/>
      <c r="C7" s="58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</row>
    <row r="8" customFormat="false" ht="12.75" hidden="false" customHeight="true" outlineLevel="4" collapsed="false">
      <c r="A8" s="57" t="s">
        <v>40</v>
      </c>
      <c r="B8" s="58" t="n">
        <f aca="false">D8+P8</f>
        <v>209045.863</v>
      </c>
      <c r="C8" s="58"/>
      <c r="D8" s="62" t="n">
        <f aca="false">SUM(E8:K8)+L8+M8+N8</f>
        <v>208320.006</v>
      </c>
      <c r="E8" s="62" t="n">
        <f aca="false">+[2]09YTD!$J$65</f>
        <v>117015.421</v>
      </c>
      <c r="F8" s="62" t="n">
        <f aca="false">+[2]09YTD!$K$65</f>
        <v>48911.522</v>
      </c>
      <c r="G8" s="62" t="n">
        <f aca="false">+[2]09YTD!$L$65</f>
        <v>34969.702</v>
      </c>
      <c r="H8" s="62" t="n">
        <f aca="false">+[2]09YTD!$M$65</f>
        <v>2872.867</v>
      </c>
      <c r="I8" s="62" t="n">
        <f aca="false">+[2]09YTD!$N$65</f>
        <v>-16.594</v>
      </c>
      <c r="J8" s="62" t="n">
        <f aca="false">+[2]09YTD!$O$65</f>
        <v>850.023</v>
      </c>
      <c r="K8" s="62" t="n">
        <f aca="false">+[2]09YTD!$P$65</f>
        <v>160.408</v>
      </c>
      <c r="L8" s="62" t="n">
        <f aca="false">+[2]09YTD!$U$65</f>
        <v>3737.033</v>
      </c>
      <c r="M8" s="62" t="n">
        <f aca="false">+[2]09YTD!$V$65</f>
        <v>-124.149</v>
      </c>
      <c r="N8" s="62" t="n">
        <f aca="false">+[2]09YTD!$W$65</f>
        <v>-56.227</v>
      </c>
      <c r="P8" s="62" t="n">
        <f aca="false">+[3]SEPT_YTD!$H$8</f>
        <v>725.857</v>
      </c>
    </row>
    <row r="9" customFormat="false" ht="12.75" hidden="false" customHeight="true" outlineLevel="4" collapsed="false">
      <c r="A9" s="57" t="s">
        <v>41</v>
      </c>
      <c r="B9" s="63" t="n">
        <f aca="false">D9+P9</f>
        <v>21098.829</v>
      </c>
      <c r="C9" s="58"/>
      <c r="D9" s="64" t="n">
        <f aca="false">SUM(E9:K9)+L9+M9+N9</f>
        <v>21098.829</v>
      </c>
      <c r="E9" s="64" t="n">
        <f aca="false">-[2]09YTD!J72</f>
        <v>-10820.571</v>
      </c>
      <c r="F9" s="64" t="n">
        <f aca="false">-[2]09YTD!K72</f>
        <v>87.9200000000004</v>
      </c>
      <c r="G9" s="64" t="n">
        <f aca="false">-'[4]08YTD  '!L72</f>
        <v>-0</v>
      </c>
      <c r="H9" s="64" t="n">
        <f aca="false">-[2]09YTD!M72</f>
        <v>2633.911</v>
      </c>
      <c r="I9" s="64" t="n">
        <f aca="false">-'[4]08YTD  '!N72</f>
        <v>-0</v>
      </c>
      <c r="J9" s="64" t="n">
        <f aca="false">-[2]09YTD!O72</f>
        <v>344.643</v>
      </c>
      <c r="K9" s="64" t="n">
        <f aca="false">-[2]09YTD!P72</f>
        <v>-0</v>
      </c>
      <c r="L9" s="64" t="n">
        <f aca="false">-[2]09YTD!U72</f>
        <v>28852.926</v>
      </c>
      <c r="M9" s="64" t="n">
        <f aca="false">-[2]09YTD!V72</f>
        <v>-0</v>
      </c>
      <c r="N9" s="64" t="n">
        <f aca="false">-[2]09YTD!W72</f>
        <v>-0</v>
      </c>
      <c r="P9" s="64" t="n">
        <f aca="false">-'[5]09YTD '!$N$73</f>
        <v>-0</v>
      </c>
    </row>
    <row r="10" customFormat="false" ht="12.75" hidden="false" customHeight="true" outlineLevel="4" collapsed="false">
      <c r="A10" s="57" t="s">
        <v>42</v>
      </c>
      <c r="B10" s="65" t="n">
        <f aca="false">B8+B9</f>
        <v>230144.692</v>
      </c>
      <c r="C10" s="58"/>
      <c r="D10" s="65" t="n">
        <f aca="false">D8+D9</f>
        <v>229418.835</v>
      </c>
      <c r="E10" s="65" t="n">
        <f aca="false">E8+E9</f>
        <v>106194.85</v>
      </c>
      <c r="F10" s="65" t="n">
        <f aca="false">F8+F9</f>
        <v>48999.442</v>
      </c>
      <c r="G10" s="65" t="n">
        <f aca="false">G8+G9</f>
        <v>34969.702</v>
      </c>
      <c r="H10" s="65" t="n">
        <f aca="false">H8+H9</f>
        <v>5506.778</v>
      </c>
      <c r="I10" s="65" t="n">
        <f aca="false">I8+I9</f>
        <v>-16.594</v>
      </c>
      <c r="J10" s="65" t="n">
        <f aca="false">J8+J9</f>
        <v>1194.666</v>
      </c>
      <c r="K10" s="65" t="n">
        <f aca="false">K8+K9</f>
        <v>160.408</v>
      </c>
      <c r="L10" s="65" t="n">
        <f aca="false">L8+L9</f>
        <v>32589.959</v>
      </c>
      <c r="M10" s="65" t="n">
        <f aca="false">M8+M9</f>
        <v>-124.149</v>
      </c>
      <c r="N10" s="65" t="n">
        <f aca="false">N8+N9</f>
        <v>-56.227</v>
      </c>
      <c r="P10" s="65" t="n">
        <f aca="false">P8+P9</f>
        <v>725.857</v>
      </c>
    </row>
    <row r="11" customFormat="false" ht="12.75" hidden="false" customHeight="true" outlineLevel="4" collapsed="false">
      <c r="A11" s="57"/>
      <c r="B11" s="65"/>
      <c r="C11" s="58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P11" s="65"/>
    </row>
    <row r="12" customFormat="false" ht="12.75" hidden="false" customHeight="true" outlineLevel="4" collapsed="false">
      <c r="A12" s="57" t="s">
        <v>43</v>
      </c>
      <c r="B12" s="58" t="n">
        <f aca="false">D12+P12</f>
        <v>49094</v>
      </c>
      <c r="C12" s="58"/>
      <c r="D12" s="62" t="n">
        <f aca="false">SUM(E12:K12)+L12+M12+N12</f>
        <v>49094</v>
      </c>
      <c r="E12" s="62" t="n">
        <f aca="false">+[2]09YTD!J36</f>
        <v>34809.866</v>
      </c>
      <c r="F12" s="62" t="n">
        <f aca="false">+[2]09YTD!K36</f>
        <v>14284.134</v>
      </c>
      <c r="G12" s="62" t="n">
        <f aca="false">+[2]09YTD!L36</f>
        <v>0</v>
      </c>
      <c r="H12" s="62" t="n">
        <f aca="false">+[2]09YTD!M36</f>
        <v>0</v>
      </c>
      <c r="I12" s="62" t="n">
        <f aca="false">+[2]09YTD!N36</f>
        <v>0</v>
      </c>
      <c r="J12" s="62" t="n">
        <f aca="false">+[2]09YTD!O36</f>
        <v>0</v>
      </c>
      <c r="K12" s="62" t="n">
        <f aca="false">+[2]09YTD!P36</f>
        <v>0</v>
      </c>
      <c r="L12" s="62" t="n">
        <f aca="false">+[2]09YTD!U36</f>
        <v>0</v>
      </c>
      <c r="M12" s="62" t="n">
        <f aca="false">+[2]09YTD!V36</f>
        <v>0</v>
      </c>
      <c r="N12" s="62" t="n">
        <f aca="false">+[2]09YTD!W36</f>
        <v>0</v>
      </c>
      <c r="P12" s="62" t="n">
        <f aca="false">+[6]SEPT_YTD!$H$11</f>
        <v>0</v>
      </c>
    </row>
    <row r="13" customFormat="false" ht="12.75" hidden="false" customHeight="true" outlineLevel="4" collapsed="false">
      <c r="A13" s="57" t="s">
        <v>45</v>
      </c>
      <c r="B13" s="58" t="n">
        <f aca="false">D13+P13</f>
        <v>29635.442</v>
      </c>
      <c r="C13" s="58"/>
      <c r="D13" s="62" t="n">
        <f aca="false">SUM(E13:K13)+L13+M13+N13</f>
        <v>30326.154</v>
      </c>
      <c r="E13" s="62" t="n">
        <f aca="false">+[2]09YTD!J62</f>
        <v>30258.355</v>
      </c>
      <c r="F13" s="62" t="n">
        <f aca="false">+[2]09YTD!K62</f>
        <v>441.401</v>
      </c>
      <c r="G13" s="62" t="n">
        <f aca="false">+[2]09YTD!L62</f>
        <v>0</v>
      </c>
      <c r="H13" s="62" t="n">
        <f aca="false">+[2]09YTD!M62</f>
        <v>408.951</v>
      </c>
      <c r="I13" s="62" t="n">
        <f aca="false">+[2]09YTD!N62</f>
        <v>0</v>
      </c>
      <c r="J13" s="62" t="n">
        <f aca="false">+[2]09YTD!O62</f>
        <v>0</v>
      </c>
      <c r="K13" s="62" t="n">
        <f aca="false">+[2]09YTD!P62</f>
        <v>-5.464</v>
      </c>
      <c r="L13" s="62" t="n">
        <f aca="false">+[2]09YTD!U62</f>
        <v>-777.089</v>
      </c>
      <c r="M13" s="62" t="n">
        <f aca="false">+[2]09YTD!V62</f>
        <v>0</v>
      </c>
      <c r="N13" s="62" t="n">
        <f aca="false">+[2]09YTD!W62</f>
        <v>0</v>
      </c>
      <c r="P13" s="62" t="n">
        <f aca="false">+[3]SEPT_YTD!$H$12</f>
        <v>-690.712</v>
      </c>
    </row>
    <row r="14" customFormat="false" ht="12.75" hidden="false" customHeight="true" outlineLevel="4" collapsed="false">
      <c r="A14" s="57" t="s">
        <v>47</v>
      </c>
      <c r="B14" s="58" t="n">
        <f aca="false">D14+P14</f>
        <v>-976.601</v>
      </c>
      <c r="C14" s="58"/>
      <c r="D14" s="62" t="n">
        <f aca="false">SUM(E14:K14)+L14+M14+N14</f>
        <v>-976.601</v>
      </c>
      <c r="E14" s="62" t="n">
        <f aca="false">-[2]09YTD!J46</f>
        <v>-976.603</v>
      </c>
      <c r="F14" s="62" t="n">
        <f aca="false">-[2]09YTD!K46</f>
        <v>0.002</v>
      </c>
      <c r="G14" s="62" t="n">
        <f aca="false">-[2]09YTD!L46</f>
        <v>-0</v>
      </c>
      <c r="H14" s="62" t="n">
        <f aca="false">-[2]09YTD!M46</f>
        <v>-0</v>
      </c>
      <c r="I14" s="62" t="n">
        <f aca="false">-[2]09YTD!N46</f>
        <v>-0</v>
      </c>
      <c r="J14" s="62" t="n">
        <f aca="false">-[2]09YTD!O46</f>
        <v>-0</v>
      </c>
      <c r="K14" s="62" t="n">
        <f aca="false">-[2]09YTD!P46</f>
        <v>-0</v>
      </c>
      <c r="L14" s="62" t="n">
        <f aca="false">-[2]09YTD!U46</f>
        <v>-0</v>
      </c>
      <c r="M14" s="62" t="n">
        <f aca="false">-[2]09YTD!V46</f>
        <v>-0</v>
      </c>
      <c r="N14" s="62" t="n">
        <f aca="false">-[2]09YTD!W46</f>
        <v>-0</v>
      </c>
      <c r="P14" s="62" t="n">
        <f aca="false">+[3]SEPT_YTD!$H$13</f>
        <v>0</v>
      </c>
    </row>
    <row r="15" customFormat="false" ht="12.75" hidden="false" customHeight="true" outlineLevel="4" collapsed="false">
      <c r="A15" s="57" t="s">
        <v>48</v>
      </c>
      <c r="B15" s="58" t="n">
        <f aca="false">D15+P15</f>
        <v>0</v>
      </c>
      <c r="C15" s="58"/>
      <c r="D15" s="62" t="n">
        <f aca="false">SUM(E15:K15)+L15+M15+N15</f>
        <v>0</v>
      </c>
      <c r="E15" s="62"/>
      <c r="F15" s="62"/>
      <c r="G15" s="62"/>
      <c r="H15" s="62"/>
      <c r="I15" s="62"/>
      <c r="J15" s="62"/>
      <c r="K15" s="62"/>
      <c r="L15" s="62"/>
      <c r="M15" s="62"/>
      <c r="N15" s="62"/>
      <c r="P15" s="62"/>
    </row>
    <row r="16" customFormat="false" ht="12.75" hidden="false" customHeight="true" outlineLevel="4" collapsed="false">
      <c r="A16" s="57" t="s">
        <v>51</v>
      </c>
      <c r="B16" s="58" t="n">
        <f aca="false">D16+P16</f>
        <v>-44585.782</v>
      </c>
      <c r="C16" s="58"/>
      <c r="D16" s="62" t="n">
        <f aca="false">SUM(E16:K16)+L16+M16+N16</f>
        <v>-43474.842</v>
      </c>
      <c r="E16" s="62" t="n">
        <f aca="false">-[2]09YTD!J43</f>
        <v>-2936.247</v>
      </c>
      <c r="F16" s="62" t="n">
        <f aca="false">-[2]09YTD!K43</f>
        <v>-0</v>
      </c>
      <c r="G16" s="62" t="n">
        <f aca="false">-[2]09YTD!L43</f>
        <v>-34969.702</v>
      </c>
      <c r="H16" s="62" t="n">
        <f aca="false">-[2]09YTD!M43</f>
        <v>-5568.893</v>
      </c>
      <c r="I16" s="62" t="n">
        <f aca="false">-[2]09YTD!N43</f>
        <v>-0</v>
      </c>
      <c r="J16" s="62" t="n">
        <f aca="false">-[2]09YTD!O43</f>
        <v>-0</v>
      </c>
      <c r="K16" s="62" t="n">
        <f aca="false">-[2]09YTD!P43</f>
        <v>-0</v>
      </c>
      <c r="L16" s="62" t="n">
        <f aca="false">-[2]09YTD!U43</f>
        <v>-0</v>
      </c>
      <c r="M16" s="62" t="n">
        <f aca="false">-[2]09YTD!V43</f>
        <v>-0</v>
      </c>
      <c r="N16" s="62" t="n">
        <f aca="false">-[2]09YTD!W43</f>
        <v>-0</v>
      </c>
      <c r="P16" s="62" t="n">
        <f aca="false">+[3]SEPT_YTD!$H$15</f>
        <v>-1110.94</v>
      </c>
    </row>
    <row r="17" customFormat="false" ht="12.75" hidden="false" customHeight="true" outlineLevel="4" collapsed="false">
      <c r="A17" s="57" t="s">
        <v>52</v>
      </c>
      <c r="B17" s="58" t="n">
        <f aca="false">D17+P17</f>
        <v>10018</v>
      </c>
      <c r="C17" s="58"/>
      <c r="D17" s="62" t="n">
        <f aca="false">SUM(E17:K17)+L17+M17+N17</f>
        <v>4883</v>
      </c>
      <c r="E17" s="75" t="n">
        <v>2434</v>
      </c>
      <c r="F17" s="75"/>
      <c r="G17" s="75"/>
      <c r="H17" s="75" t="n">
        <v>2449</v>
      </c>
      <c r="I17" s="75"/>
      <c r="J17" s="75"/>
      <c r="K17" s="75"/>
      <c r="L17" s="75"/>
      <c r="M17" s="75"/>
      <c r="N17" s="75"/>
      <c r="P17" s="62" t="n">
        <f aca="false">+[3]SEPT_YTD!$H$16</f>
        <v>5135</v>
      </c>
    </row>
    <row r="18" customFormat="false" ht="12.75" hidden="false" customHeight="true" outlineLevel="4" collapsed="false">
      <c r="A18" s="57" t="s">
        <v>53</v>
      </c>
      <c r="B18" s="63" t="n">
        <f aca="false">D18+P18</f>
        <v>-55232</v>
      </c>
      <c r="C18" s="58"/>
      <c r="D18" s="62" t="n">
        <f aca="false">SUM(E18:K18)+L18+M18+N18</f>
        <v>-54991</v>
      </c>
      <c r="E18" s="64" t="n">
        <f aca="false">-4848-25026-38569</f>
        <v>-68443</v>
      </c>
      <c r="F18" s="64" t="n">
        <f aca="false">3694+2166</f>
        <v>5860</v>
      </c>
      <c r="G18" s="64" t="n">
        <v>0</v>
      </c>
      <c r="H18" s="64" t="n">
        <v>-1</v>
      </c>
      <c r="I18" s="64" t="n">
        <v>-12</v>
      </c>
      <c r="J18" s="64" t="n">
        <v>184</v>
      </c>
      <c r="K18" s="64" t="n">
        <v>13</v>
      </c>
      <c r="L18" s="64" t="n">
        <v>6902</v>
      </c>
      <c r="M18" s="64" t="n">
        <v>1</v>
      </c>
      <c r="N18" s="64" t="n">
        <v>505</v>
      </c>
      <c r="P18" s="62" t="n">
        <f aca="false">+[3]SEPT_YTD!$H$17</f>
        <v>-241</v>
      </c>
    </row>
    <row r="19" customFormat="false" ht="12.75" hidden="false" customHeight="true" outlineLevel="4" collapsed="false">
      <c r="A19" s="57" t="s">
        <v>54</v>
      </c>
      <c r="B19" s="66" t="n">
        <f aca="false">SUM(B10:B18)</f>
        <v>218097.751</v>
      </c>
      <c r="C19" s="58"/>
      <c r="D19" s="66" t="n">
        <f aca="false">SUM(D10:D18)</f>
        <v>214279.546</v>
      </c>
      <c r="E19" s="66" t="n">
        <f aca="false">SUM(E10:E18)</f>
        <v>101341.221</v>
      </c>
      <c r="F19" s="66" t="n">
        <f aca="false">SUM(F10:F18)</f>
        <v>69584.979</v>
      </c>
      <c r="G19" s="66" t="n">
        <f aca="false">SUM(G10:G18)</f>
        <v>0</v>
      </c>
      <c r="H19" s="66" t="n">
        <f aca="false">SUM(H10:H18)</f>
        <v>2794.836</v>
      </c>
      <c r="I19" s="66" t="n">
        <f aca="false">SUM(I10:I18)</f>
        <v>-28.594</v>
      </c>
      <c r="J19" s="66" t="n">
        <f aca="false">SUM(J10:J18)</f>
        <v>1378.666</v>
      </c>
      <c r="K19" s="66" t="n">
        <f aca="false">SUM(K10:K18)</f>
        <v>167.944</v>
      </c>
      <c r="L19" s="66" t="n">
        <f aca="false">SUM(L10:L18)</f>
        <v>38714.87</v>
      </c>
      <c r="M19" s="66" t="n">
        <f aca="false">SUM(M10:M18)</f>
        <v>-123.149</v>
      </c>
      <c r="N19" s="66" t="n">
        <f aca="false">SUM(N10:N18)</f>
        <v>448.773</v>
      </c>
      <c r="P19" s="66" t="n">
        <f aca="false">SUM(P10:P18)</f>
        <v>3818.205</v>
      </c>
    </row>
    <row r="20" customFormat="false" ht="12.75" hidden="false" customHeight="true" outlineLevel="4" collapsed="false">
      <c r="A20" s="57"/>
      <c r="B20" s="42"/>
      <c r="C20" s="58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P20" s="42"/>
    </row>
    <row r="21" customFormat="false" ht="12.75" hidden="false" customHeight="true" outlineLevel="4" collapsed="false">
      <c r="A21" s="57" t="s">
        <v>103</v>
      </c>
      <c r="B21" s="58"/>
      <c r="C21" s="58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P21" s="42"/>
    </row>
    <row r="22" customFormat="false" ht="12.75" hidden="false" customHeight="true" outlineLevel="4" collapsed="false">
      <c r="A22" s="57" t="s">
        <v>56</v>
      </c>
      <c r="B22" s="58" t="n">
        <f aca="false">D22+P22</f>
        <v>8792</v>
      </c>
      <c r="C22" s="58"/>
      <c r="D22" s="62" t="n">
        <f aca="false">SUM(E22:K22)+L22+M22+N22</f>
        <v>6395</v>
      </c>
      <c r="E22" s="62" t="n">
        <v>17347</v>
      </c>
      <c r="F22" s="62" t="n">
        <v>-3537</v>
      </c>
      <c r="G22" s="62"/>
      <c r="H22" s="62" t="n">
        <v>-110</v>
      </c>
      <c r="I22" s="62" t="n">
        <v>17</v>
      </c>
      <c r="J22" s="62" t="n">
        <v>-1967</v>
      </c>
      <c r="K22" s="62" t="n">
        <v>280</v>
      </c>
      <c r="L22" s="62" t="n">
        <v>-2391</v>
      </c>
      <c r="M22" s="62" t="n">
        <v>-1973</v>
      </c>
      <c r="N22" s="62" t="n">
        <v>-1271</v>
      </c>
      <c r="P22" s="62" t="n">
        <f aca="false">+[3]SEPT_YTD!$H$20</f>
        <v>2397</v>
      </c>
    </row>
    <row r="23" customFormat="false" ht="12.75" hidden="false" customHeight="true" outlineLevel="4" collapsed="false">
      <c r="A23" s="57" t="s">
        <v>58</v>
      </c>
      <c r="B23" s="58" t="n">
        <f aca="false">D23+P23</f>
        <v>-1999</v>
      </c>
      <c r="C23" s="58"/>
      <c r="D23" s="62" t="n">
        <f aca="false">SUM(E23:K23)+L23+M23+N23</f>
        <v>-1999</v>
      </c>
      <c r="E23" s="62" t="n">
        <v>-44977</v>
      </c>
      <c r="F23" s="62" t="n">
        <f aca="false">-22223-36042</f>
        <v>-58265</v>
      </c>
      <c r="G23" s="62"/>
      <c r="H23" s="62" t="n">
        <v>-5793</v>
      </c>
      <c r="I23" s="62" t="n">
        <v>18</v>
      </c>
      <c r="J23" s="62" t="n">
        <v>3836</v>
      </c>
      <c r="K23" s="62" t="n">
        <v>-902</v>
      </c>
      <c r="L23" s="62" t="n">
        <v>-6458</v>
      </c>
      <c r="M23" s="62" t="n">
        <v>109831</v>
      </c>
      <c r="N23" s="62" t="n">
        <v>711</v>
      </c>
      <c r="P23" s="62" t="n">
        <f aca="false">+[3]SEPT_YTD!$H$21</f>
        <v>0</v>
      </c>
    </row>
    <row r="24" customFormat="false" ht="12.75" hidden="false" customHeight="true" outlineLevel="4" collapsed="false">
      <c r="A24" s="57" t="s">
        <v>60</v>
      </c>
      <c r="B24" s="58" t="n">
        <f aca="false">D24+P24</f>
        <v>279</v>
      </c>
      <c r="C24" s="58"/>
      <c r="D24" s="62" t="n">
        <f aca="false">SUM(E24:K24)+L24+M24+N24</f>
        <v>279</v>
      </c>
      <c r="E24" s="62" t="n">
        <v>140</v>
      </c>
      <c r="F24" s="62" t="n">
        <v>139</v>
      </c>
      <c r="G24" s="62"/>
      <c r="H24" s="62"/>
      <c r="I24" s="62"/>
      <c r="J24" s="62"/>
      <c r="K24" s="62"/>
      <c r="L24" s="62"/>
      <c r="M24" s="62"/>
      <c r="N24" s="62"/>
      <c r="P24" s="62" t="n">
        <f aca="false">+[3]SEPT_YTD!$H$22</f>
        <v>0</v>
      </c>
    </row>
    <row r="25" customFormat="false" ht="12.75" hidden="false" customHeight="true" outlineLevel="4" collapsed="false">
      <c r="A25" s="57" t="s">
        <v>61</v>
      </c>
      <c r="B25" s="58" t="n">
        <f aca="false">D25+P25</f>
        <v>8</v>
      </c>
      <c r="C25" s="58"/>
      <c r="D25" s="62" t="n">
        <f aca="false">SUM(E25:K25)+L25+M25+N25</f>
        <v>8</v>
      </c>
      <c r="E25" s="62" t="n">
        <v>0</v>
      </c>
      <c r="F25" s="62" t="n">
        <v>8</v>
      </c>
      <c r="G25" s="62"/>
      <c r="H25" s="62"/>
      <c r="I25" s="62"/>
      <c r="J25" s="62"/>
      <c r="K25" s="62"/>
      <c r="L25" s="62"/>
      <c r="M25" s="62"/>
      <c r="N25" s="62"/>
      <c r="P25" s="62" t="n">
        <f aca="false">+[3]SEPT_YTD!$H$23</f>
        <v>0</v>
      </c>
    </row>
    <row r="26" customFormat="false" ht="12.75" hidden="false" customHeight="true" outlineLevel="4" collapsed="false">
      <c r="A26" s="57" t="s">
        <v>62</v>
      </c>
      <c r="B26" s="58" t="n">
        <f aca="false">D26+P26</f>
        <v>14518</v>
      </c>
      <c r="C26" s="58"/>
      <c r="D26" s="62" t="n">
        <f aca="false">SUM(E26:K26)+L26+M26+N26</f>
        <v>14497</v>
      </c>
      <c r="E26" s="62" t="n">
        <v>-13332</v>
      </c>
      <c r="F26" s="62" t="n">
        <v>20797</v>
      </c>
      <c r="G26" s="62"/>
      <c r="H26" s="62" t="n">
        <v>1130</v>
      </c>
      <c r="I26" s="62" t="n">
        <v>3</v>
      </c>
      <c r="J26" s="62" t="n">
        <v>-906</v>
      </c>
      <c r="K26" s="62" t="n">
        <v>-3</v>
      </c>
      <c r="L26" s="62" t="n">
        <v>-1089</v>
      </c>
      <c r="M26" s="62" t="n">
        <v>8004</v>
      </c>
      <c r="N26" s="62" t="n">
        <v>-107</v>
      </c>
      <c r="P26" s="62" t="n">
        <f aca="false">+[3]SEPT_YTD!$H$24</f>
        <v>21</v>
      </c>
    </row>
    <row r="27" customFormat="false" ht="12.75" hidden="false" customHeight="true" outlineLevel="4" collapsed="false">
      <c r="A27" s="57" t="s">
        <v>104</v>
      </c>
      <c r="B27" s="58" t="n">
        <f aca="false">D27+P27</f>
        <v>3795</v>
      </c>
      <c r="C27" s="58"/>
      <c r="D27" s="62" t="n">
        <f aca="false">SUM(E27:K27)+L27+M27+N27</f>
        <v>3795</v>
      </c>
      <c r="E27" s="62" t="n">
        <v>4083</v>
      </c>
      <c r="F27" s="62" t="n">
        <v>-288</v>
      </c>
      <c r="G27" s="62"/>
      <c r="H27" s="62" t="n">
        <v>0</v>
      </c>
      <c r="I27" s="62"/>
      <c r="J27" s="62"/>
      <c r="K27" s="62"/>
      <c r="L27" s="62"/>
      <c r="M27" s="62"/>
      <c r="N27" s="62"/>
      <c r="P27" s="62" t="n">
        <f aca="false">+[3]SEPT_YTD!$H$25</f>
        <v>0</v>
      </c>
    </row>
    <row r="28" customFormat="false" ht="12.75" hidden="false" customHeight="true" outlineLevel="4" collapsed="false">
      <c r="A28" s="57" t="s">
        <v>64</v>
      </c>
      <c r="B28" s="58" t="n">
        <f aca="false">D28+P28</f>
        <v>2989</v>
      </c>
      <c r="C28" s="58"/>
      <c r="D28" s="62" t="n">
        <f aca="false">SUM(E28:K28)+L28+M28+N28</f>
        <v>2977</v>
      </c>
      <c r="E28" s="62" t="n">
        <v>1096</v>
      </c>
      <c r="F28" s="62" t="n">
        <v>1925</v>
      </c>
      <c r="G28" s="62"/>
      <c r="H28" s="62" t="n">
        <v>-1</v>
      </c>
      <c r="I28" s="62"/>
      <c r="J28" s="62" t="n">
        <v>2</v>
      </c>
      <c r="K28" s="62" t="n">
        <v>-1</v>
      </c>
      <c r="L28" s="62" t="n">
        <v>-47</v>
      </c>
      <c r="M28" s="62"/>
      <c r="N28" s="62" t="n">
        <v>3</v>
      </c>
      <c r="P28" s="62" t="n">
        <f aca="false">+[3]SEPT_YTD!$H$26</f>
        <v>12</v>
      </c>
    </row>
    <row r="29" customFormat="false" ht="12.75" hidden="false" customHeight="true" outlineLevel="4" collapsed="false">
      <c r="A29" s="57" t="s">
        <v>65</v>
      </c>
      <c r="B29" s="58" t="n">
        <f aca="false">D29+P29</f>
        <v>5748</v>
      </c>
      <c r="C29" s="58"/>
      <c r="D29" s="62" t="n">
        <f aca="false">SUM(E29:K29)+L29+M29+N29</f>
        <v>5748</v>
      </c>
      <c r="E29" s="75" t="n">
        <v>3563</v>
      </c>
      <c r="F29" s="75" t="n">
        <v>2185</v>
      </c>
      <c r="G29" s="75"/>
      <c r="H29" s="75"/>
      <c r="I29" s="75"/>
      <c r="J29" s="75"/>
      <c r="K29" s="75"/>
      <c r="L29" s="75"/>
      <c r="M29" s="75"/>
      <c r="N29" s="75"/>
      <c r="P29" s="62" t="n">
        <f aca="false">+[3]SEPT_YTD!$H$27</f>
        <v>0</v>
      </c>
    </row>
    <row r="30" customFormat="false" ht="12.75" hidden="false" customHeight="true" outlineLevel="4" collapsed="false">
      <c r="A30" s="57" t="s">
        <v>66</v>
      </c>
      <c r="B30" s="63" t="n">
        <f aca="false">D30+P30</f>
        <v>-9096</v>
      </c>
      <c r="C30" s="58"/>
      <c r="D30" s="62" t="n">
        <f aca="false">SUM(E30:K30)+L30+M30+N30</f>
        <v>-9096</v>
      </c>
      <c r="E30" s="64" t="n">
        <v>-8975</v>
      </c>
      <c r="F30" s="64" t="n">
        <f aca="false">-448+1</f>
        <v>-447</v>
      </c>
      <c r="G30" s="64"/>
      <c r="H30" s="64" t="n">
        <v>-693</v>
      </c>
      <c r="I30" s="64"/>
      <c r="J30" s="64" t="n">
        <v>-807</v>
      </c>
      <c r="K30" s="64" t="n">
        <v>2</v>
      </c>
      <c r="L30" s="64" t="n">
        <v>1777</v>
      </c>
      <c r="M30" s="64"/>
      <c r="N30" s="64" t="n">
        <f aca="false">46+1</f>
        <v>47</v>
      </c>
      <c r="P30" s="62" t="n">
        <f aca="false">+[3]SEPT_YTD!$H$28</f>
        <v>0</v>
      </c>
    </row>
    <row r="31" customFormat="false" ht="12.75" hidden="false" customHeight="true" outlineLevel="4" collapsed="false">
      <c r="A31" s="57" t="s">
        <v>67</v>
      </c>
      <c r="B31" s="67" t="n">
        <f aca="false">SUM(B21:B30)</f>
        <v>25034</v>
      </c>
      <c r="C31" s="68"/>
      <c r="D31" s="67" t="n">
        <f aca="false">SUM(D21:D30)</f>
        <v>22604</v>
      </c>
      <c r="E31" s="67" t="n">
        <f aca="false">SUM(E21:E30)</f>
        <v>-41055</v>
      </c>
      <c r="F31" s="67" t="n">
        <f aca="false">SUM(F21:F30)</f>
        <v>-37483</v>
      </c>
      <c r="G31" s="67" t="n">
        <f aca="false">SUM(G21:G30)</f>
        <v>0</v>
      </c>
      <c r="H31" s="67" t="n">
        <f aca="false">SUM(H21:H30)</f>
        <v>-5467</v>
      </c>
      <c r="I31" s="67" t="n">
        <f aca="false">SUM(I21:I30)</f>
        <v>38</v>
      </c>
      <c r="J31" s="67" t="n">
        <f aca="false">SUM(J21:J30)</f>
        <v>158</v>
      </c>
      <c r="K31" s="67" t="n">
        <f aca="false">SUM(K21:K30)</f>
        <v>-624</v>
      </c>
      <c r="L31" s="67" t="n">
        <f aca="false">SUM(L21:L30)</f>
        <v>-8208</v>
      </c>
      <c r="M31" s="67" t="n">
        <f aca="false">SUM(M21:M30)</f>
        <v>115862</v>
      </c>
      <c r="N31" s="67" t="n">
        <f aca="false">SUM(N21:N30)</f>
        <v>-617</v>
      </c>
      <c r="P31" s="67" t="n">
        <f aca="false">SUM(P21:P30)</f>
        <v>2430</v>
      </c>
    </row>
    <row r="32" customFormat="false" ht="12.75" hidden="false" customHeight="true" outlineLevel="4" collapsed="false">
      <c r="A32" s="57"/>
      <c r="B32" s="69"/>
      <c r="C32" s="68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42"/>
      <c r="P32" s="69"/>
    </row>
    <row r="33" customFormat="false" ht="12.75" hidden="false" customHeight="true" outlineLevel="3" collapsed="false">
      <c r="A33" s="57" t="s">
        <v>68</v>
      </c>
      <c r="B33" s="70" t="n">
        <f aca="false">B19+B31</f>
        <v>243131.751</v>
      </c>
      <c r="C33" s="58"/>
      <c r="D33" s="70" t="n">
        <f aca="false">D19+D31</f>
        <v>236883.546</v>
      </c>
      <c r="E33" s="70" t="n">
        <f aca="false">E19+E31</f>
        <v>60286.221</v>
      </c>
      <c r="F33" s="70" t="n">
        <f aca="false">F19+F31</f>
        <v>32101.979</v>
      </c>
      <c r="G33" s="70" t="n">
        <f aca="false">G19+G31</f>
        <v>0</v>
      </c>
      <c r="H33" s="70" t="n">
        <f aca="false">H19+H31</f>
        <v>-2672.164</v>
      </c>
      <c r="I33" s="70" t="n">
        <f aca="false">I19+I31</f>
        <v>9.406</v>
      </c>
      <c r="J33" s="70" t="n">
        <f aca="false">J19+J31</f>
        <v>1536.666</v>
      </c>
      <c r="K33" s="70" t="n">
        <f aca="false">K19+K31</f>
        <v>-456.056</v>
      </c>
      <c r="L33" s="70" t="n">
        <f aca="false">L19+L31</f>
        <v>30506.87</v>
      </c>
      <c r="M33" s="70" t="n">
        <f aca="false">M19+M31</f>
        <v>115738.851</v>
      </c>
      <c r="N33" s="70" t="n">
        <f aca="false">N19+N31</f>
        <v>-168.227</v>
      </c>
      <c r="P33" s="70" t="n">
        <f aca="false">P19+P31</f>
        <v>6248.205</v>
      </c>
    </row>
    <row r="34" customFormat="false" ht="12.75" hidden="false" customHeight="true" outlineLevel="3" collapsed="false">
      <c r="B34" s="58"/>
      <c r="C34" s="58"/>
    </row>
    <row r="35" customFormat="false" ht="12.75" hidden="false" customHeight="true" outlineLevel="3" collapsed="false">
      <c r="A35" s="61" t="s">
        <v>69</v>
      </c>
      <c r="B35" s="58"/>
      <c r="C35" s="58"/>
    </row>
    <row r="36" customFormat="false" ht="12.75" hidden="false" customHeight="true" outlineLevel="4" collapsed="false">
      <c r="A36" s="57" t="s">
        <v>70</v>
      </c>
      <c r="B36" s="58" t="n">
        <f aca="false">D36+P36</f>
        <v>5679</v>
      </c>
      <c r="C36" s="58"/>
      <c r="D36" s="62" t="n">
        <f aca="false">SUM(E36:K36)+L36+M36+N36</f>
        <v>5679</v>
      </c>
      <c r="E36" s="76" t="n">
        <v>5562</v>
      </c>
      <c r="F36" s="76" t="n">
        <v>117</v>
      </c>
      <c r="G36" s="76"/>
      <c r="H36" s="76"/>
      <c r="I36" s="76"/>
      <c r="J36" s="76"/>
      <c r="K36" s="76"/>
      <c r="L36" s="76"/>
      <c r="M36" s="76"/>
      <c r="N36" s="76"/>
      <c r="P36" s="76"/>
    </row>
    <row r="37" customFormat="false" ht="12.75" hidden="false" customHeight="true" outlineLevel="4" collapsed="false">
      <c r="A37" s="57" t="s">
        <v>71</v>
      </c>
      <c r="B37" s="58" t="n">
        <f aca="false">D37+P37</f>
        <v>-61218</v>
      </c>
      <c r="C37" s="58"/>
      <c r="D37" s="62" t="n">
        <f aca="false">SUM(E37:K37)+L37+M37+N37</f>
        <v>-61218</v>
      </c>
      <c r="E37" s="76" t="n">
        <v>-39076</v>
      </c>
      <c r="F37" s="76" t="n">
        <v>-22142</v>
      </c>
      <c r="G37" s="76"/>
      <c r="H37" s="76"/>
      <c r="I37" s="76"/>
      <c r="J37" s="76"/>
      <c r="K37" s="76"/>
      <c r="L37" s="76"/>
      <c r="M37" s="76"/>
      <c r="N37" s="76"/>
      <c r="P37" s="76"/>
    </row>
    <row r="38" customFormat="false" ht="12.75" hidden="false" customHeight="true" outlineLevel="4" collapsed="false">
      <c r="A38" s="57" t="s">
        <v>105</v>
      </c>
      <c r="B38" s="58" t="n">
        <f aca="false">D38+P38</f>
        <v>27509</v>
      </c>
      <c r="C38" s="58"/>
      <c r="D38" s="62" t="n">
        <f aca="false">SUM(E38:K38)+L38+M38+N38</f>
        <v>27509</v>
      </c>
      <c r="E38" s="76" t="n">
        <f aca="false">31172-2832</f>
        <v>28340</v>
      </c>
      <c r="F38" s="76" t="n">
        <f aca="false">-344-487</f>
        <v>-831</v>
      </c>
      <c r="G38" s="76"/>
      <c r="H38" s="76"/>
      <c r="I38" s="76"/>
      <c r="J38" s="76"/>
      <c r="K38" s="76"/>
      <c r="L38" s="76"/>
      <c r="M38" s="76"/>
      <c r="N38" s="76"/>
      <c r="P38" s="76"/>
    </row>
    <row r="39" customFormat="false" ht="12.75" hidden="false" customHeight="true" outlineLevel="4" collapsed="false">
      <c r="A39" s="57" t="s">
        <v>106</v>
      </c>
      <c r="B39" s="58" t="n">
        <f aca="false">D39+P39</f>
        <v>-6770</v>
      </c>
      <c r="C39" s="58"/>
      <c r="D39" s="62" t="n">
        <f aca="false">SUM(E39:N39)</f>
        <v>0</v>
      </c>
      <c r="E39" s="76" t="n">
        <v>0</v>
      </c>
      <c r="F39" s="76" t="n">
        <v>0</v>
      </c>
      <c r="G39" s="76"/>
      <c r="H39" s="76"/>
      <c r="I39" s="76"/>
      <c r="J39" s="76"/>
      <c r="K39" s="76"/>
      <c r="L39" s="76"/>
      <c r="M39" s="76"/>
      <c r="N39" s="76"/>
      <c r="P39" s="76" t="n">
        <f aca="false">+[3]SEPT_YTD!$H$37</f>
        <v>-6770</v>
      </c>
    </row>
    <row r="40" customFormat="false" ht="12.75" hidden="false" customHeight="true" outlineLevel="4" collapsed="false">
      <c r="A40" s="57" t="s">
        <v>76</v>
      </c>
      <c r="B40" s="58" t="n">
        <f aca="false">D40+P40</f>
        <v>0</v>
      </c>
      <c r="C40" s="58"/>
      <c r="D40" s="62" t="n">
        <f aca="false">SUM(E40:N40)</f>
        <v>0</v>
      </c>
      <c r="E40" s="76" t="n">
        <v>0</v>
      </c>
      <c r="F40" s="76" t="n">
        <v>0</v>
      </c>
      <c r="G40" s="76"/>
      <c r="H40" s="76"/>
      <c r="I40" s="76"/>
      <c r="J40" s="76"/>
      <c r="K40" s="76"/>
      <c r="L40" s="76"/>
      <c r="M40" s="76"/>
      <c r="N40" s="76"/>
      <c r="P40" s="76"/>
    </row>
    <row r="41" customFormat="false" ht="12.75" hidden="false" customHeight="true" outlineLevel="4" collapsed="false">
      <c r="A41" s="57" t="s">
        <v>77</v>
      </c>
      <c r="B41" s="63" t="n">
        <f aca="false">D41+P41</f>
        <v>-13</v>
      </c>
      <c r="C41" s="58"/>
      <c r="D41" s="64" t="n">
        <f aca="false">SUM(E41:K41)+L41+M41+N41</f>
        <v>-13</v>
      </c>
      <c r="E41" s="64" t="n">
        <f aca="false">-14+1</f>
        <v>-13</v>
      </c>
      <c r="F41" s="64" t="n">
        <v>0</v>
      </c>
      <c r="G41" s="64"/>
      <c r="H41" s="64"/>
      <c r="I41" s="64"/>
      <c r="J41" s="64"/>
      <c r="K41" s="64"/>
      <c r="L41" s="64"/>
      <c r="M41" s="64"/>
      <c r="N41" s="64"/>
      <c r="P41" s="64"/>
    </row>
    <row r="42" customFormat="false" ht="12.75" hidden="false" customHeight="true" outlineLevel="3" collapsed="false">
      <c r="A42" s="57" t="s">
        <v>78</v>
      </c>
      <c r="B42" s="70" t="n">
        <f aca="false">SUM(B36:B41)</f>
        <v>-34813</v>
      </c>
      <c r="C42" s="71" t="n">
        <f aca="false">SUM(C36:C41)</f>
        <v>0</v>
      </c>
      <c r="D42" s="70" t="n">
        <f aca="false">SUM(D36:D41)</f>
        <v>-28043</v>
      </c>
      <c r="E42" s="70" t="n">
        <f aca="false">SUM(E36:E41)</f>
        <v>-5187</v>
      </c>
      <c r="F42" s="70" t="n">
        <f aca="false">SUM(F36:F41)</f>
        <v>-22856</v>
      </c>
      <c r="G42" s="70" t="n">
        <f aca="false">SUM(G36:G41)</f>
        <v>0</v>
      </c>
      <c r="H42" s="70" t="n">
        <f aca="false">SUM(H36:H41)</f>
        <v>0</v>
      </c>
      <c r="I42" s="70" t="n">
        <f aca="false">SUM(I36:I41)</f>
        <v>0</v>
      </c>
      <c r="J42" s="70" t="n">
        <f aca="false">SUM(J36:J41)</f>
        <v>0</v>
      </c>
      <c r="K42" s="70" t="n">
        <f aca="false">SUM(K36:K41)</f>
        <v>0</v>
      </c>
      <c r="L42" s="70" t="n">
        <f aca="false">SUM(L36:L41)</f>
        <v>0</v>
      </c>
      <c r="M42" s="70" t="n">
        <f aca="false">SUM(M36:M41)</f>
        <v>0</v>
      </c>
      <c r="N42" s="70" t="n">
        <f aca="false">SUM(N36:N41)</f>
        <v>0</v>
      </c>
      <c r="P42" s="70" t="n">
        <f aca="false">SUM(P36:P41)</f>
        <v>-6770</v>
      </c>
    </row>
    <row r="43" customFormat="false" ht="12.75" hidden="false" customHeight="true" outlineLevel="3" collapsed="false">
      <c r="B43" s="58"/>
      <c r="C43" s="58"/>
    </row>
    <row r="44" customFormat="false" ht="12.75" hidden="false" customHeight="true" outlineLevel="3" collapsed="false">
      <c r="A44" s="61" t="s">
        <v>79</v>
      </c>
      <c r="B44" s="58"/>
      <c r="C44" s="58"/>
    </row>
    <row r="45" customFormat="false" ht="12.75" hidden="false" customHeight="true" outlineLevel="4" collapsed="false">
      <c r="A45" s="57" t="s">
        <v>80</v>
      </c>
      <c r="B45" s="58" t="n">
        <f aca="false">D45+P45</f>
        <v>0</v>
      </c>
      <c r="C45" s="58"/>
      <c r="D45" s="62" t="n">
        <f aca="false">SUM(E45:N45)</f>
        <v>0</v>
      </c>
      <c r="E45" s="62"/>
      <c r="F45" s="62" t="n">
        <v>0</v>
      </c>
      <c r="G45" s="62"/>
      <c r="H45" s="62"/>
      <c r="I45" s="62"/>
      <c r="J45" s="62"/>
      <c r="K45" s="62"/>
      <c r="L45" s="62"/>
      <c r="M45" s="62"/>
      <c r="N45" s="62"/>
      <c r="P45" s="62"/>
    </row>
    <row r="46" customFormat="false" ht="12.75" hidden="false" customHeight="true" outlineLevel="4" collapsed="false">
      <c r="A46" s="57" t="s">
        <v>81</v>
      </c>
      <c r="B46" s="58" t="n">
        <f aca="false">D46+P46</f>
        <v>150000</v>
      </c>
      <c r="C46" s="58"/>
      <c r="D46" s="62" t="n">
        <f aca="false">SUM(E46:K46)+L46+M46+N46</f>
        <v>150000</v>
      </c>
      <c r="E46" s="62"/>
      <c r="F46" s="62" t="n">
        <v>150000</v>
      </c>
      <c r="G46" s="62"/>
      <c r="H46" s="62"/>
      <c r="I46" s="62"/>
      <c r="J46" s="62"/>
      <c r="K46" s="62"/>
      <c r="L46" s="62"/>
      <c r="M46" s="62"/>
      <c r="N46" s="62"/>
      <c r="P46" s="62"/>
    </row>
    <row r="47" customFormat="false" ht="12.75" hidden="false" customHeight="true" outlineLevel="4" collapsed="false">
      <c r="A47" s="57" t="s">
        <v>83</v>
      </c>
      <c r="B47" s="58" t="n">
        <f aca="false">D47+P47</f>
        <v>-123000</v>
      </c>
      <c r="C47" s="58"/>
      <c r="D47" s="62" t="n">
        <f aca="false">SUM(E47:N47)</f>
        <v>-123000</v>
      </c>
      <c r="E47" s="62"/>
      <c r="F47" s="62" t="n">
        <v>-123000</v>
      </c>
      <c r="G47" s="62"/>
      <c r="H47" s="62"/>
      <c r="I47" s="62"/>
      <c r="J47" s="62"/>
      <c r="K47" s="62"/>
      <c r="L47" s="62"/>
      <c r="M47" s="62"/>
      <c r="N47" s="62"/>
      <c r="P47" s="62"/>
    </row>
    <row r="48" customFormat="false" ht="12.75" hidden="false" customHeight="true" outlineLevel="4" collapsed="false">
      <c r="A48" s="57" t="s">
        <v>84</v>
      </c>
      <c r="B48" s="58" t="n">
        <f aca="false">D48+P48</f>
        <v>0</v>
      </c>
      <c r="C48" s="58"/>
      <c r="D48" s="62" t="n">
        <f aca="false">SUM(E48:K48)+L48+M48+N48</f>
        <v>0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P48" s="62" t="n">
        <f aca="false">+[3]SEPT_YTD!$H$46</f>
        <v>0</v>
      </c>
    </row>
    <row r="49" customFormat="false" ht="12.75" hidden="false" customHeight="true" outlineLevel="4" collapsed="false">
      <c r="A49" s="57" t="s">
        <v>107</v>
      </c>
      <c r="B49" s="58" t="n">
        <f aca="false">D49+P49</f>
        <v>0</v>
      </c>
      <c r="C49" s="58"/>
      <c r="D49" s="62" t="n">
        <f aca="false">SUM(E49:N49)</f>
        <v>0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P49" s="75"/>
    </row>
    <row r="50" customFormat="false" ht="12.75" hidden="false" customHeight="true" outlineLevel="3" collapsed="false">
      <c r="A50" s="57" t="s">
        <v>86</v>
      </c>
      <c r="B50" s="72" t="n">
        <f aca="false">SUM(B45:B49)</f>
        <v>27000</v>
      </c>
      <c r="C50" s="58"/>
      <c r="D50" s="72" t="n">
        <f aca="false">SUM(D45:D49)</f>
        <v>27000</v>
      </c>
      <c r="E50" s="72" t="n">
        <f aca="false">SUM(E45:E49)</f>
        <v>0</v>
      </c>
      <c r="F50" s="72" t="n">
        <f aca="false">SUM(F45:F49)</f>
        <v>27000</v>
      </c>
      <c r="G50" s="72" t="n">
        <f aca="false">SUM(G45:G49)</f>
        <v>0</v>
      </c>
      <c r="H50" s="72" t="n">
        <f aca="false">SUM(H45:H49)</f>
        <v>0</v>
      </c>
      <c r="I50" s="72" t="n">
        <f aca="false">SUM(I45:I49)</f>
        <v>0</v>
      </c>
      <c r="J50" s="72" t="n">
        <f aca="false">SUM(J45:J49)</f>
        <v>0</v>
      </c>
      <c r="K50" s="72" t="n">
        <f aca="false">SUM(K45:K49)</f>
        <v>0</v>
      </c>
      <c r="L50" s="72" t="n">
        <f aca="false">SUM(L45:L49)</f>
        <v>0</v>
      </c>
      <c r="M50" s="72" t="n">
        <f aca="false">SUM(M45:M49)</f>
        <v>0</v>
      </c>
      <c r="N50" s="72" t="n">
        <f aca="false">SUM(N45:N49)</f>
        <v>0</v>
      </c>
      <c r="P50" s="72" t="n">
        <f aca="false">SUM(P45:P49)</f>
        <v>0</v>
      </c>
    </row>
    <row r="51" customFormat="false" ht="12.75" hidden="false" customHeight="true" outlineLevel="3" collapsed="false">
      <c r="A51" s="57"/>
      <c r="B51" s="71"/>
      <c r="C51" s="58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P51" s="71"/>
    </row>
    <row r="52" customFormat="false" ht="12.75" hidden="false" customHeight="true" outlineLevel="2" collapsed="false">
      <c r="A52" s="57" t="s">
        <v>87</v>
      </c>
      <c r="B52" s="71" t="n">
        <f aca="false">B33+B42+B50</f>
        <v>235318.751</v>
      </c>
      <c r="C52" s="58"/>
      <c r="D52" s="71" t="n">
        <f aca="false">D33+D42+D50</f>
        <v>235840.546</v>
      </c>
      <c r="E52" s="71" t="n">
        <f aca="false">E33+E42+E50</f>
        <v>55099.221</v>
      </c>
      <c r="F52" s="71" t="n">
        <f aca="false">F33+F42+F50</f>
        <v>36245.979</v>
      </c>
      <c r="G52" s="71" t="n">
        <f aca="false">G33+G42+G50</f>
        <v>0</v>
      </c>
      <c r="H52" s="71" t="n">
        <f aca="false">H33+H42+H50</f>
        <v>-2672.164</v>
      </c>
      <c r="I52" s="71" t="n">
        <f aca="false">I33+I42+I50</f>
        <v>9.406</v>
      </c>
      <c r="J52" s="71" t="n">
        <f aca="false">J33+J42+J50</f>
        <v>1536.666</v>
      </c>
      <c r="K52" s="71" t="n">
        <f aca="false">K33+K42+K50</f>
        <v>-456.056</v>
      </c>
      <c r="L52" s="71" t="n">
        <f aca="false">L33+L42+L50</f>
        <v>30506.87</v>
      </c>
      <c r="M52" s="71" t="n">
        <f aca="false">M33+M42+M50</f>
        <v>115738.851</v>
      </c>
      <c r="N52" s="71" t="n">
        <f aca="false">N33+N42+N50</f>
        <v>-168.227</v>
      </c>
      <c r="P52" s="71" t="n">
        <f aca="false">P33+P42+P50</f>
        <v>-521.795</v>
      </c>
    </row>
    <row r="53" customFormat="false" ht="12.75" hidden="false" customHeight="true" outlineLevel="2" collapsed="false">
      <c r="A53" s="57"/>
      <c r="B53" s="71"/>
      <c r="C53" s="58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P53" s="71"/>
    </row>
    <row r="54" customFormat="false" ht="12.75" hidden="false" customHeight="true" outlineLevel="2" collapsed="false">
      <c r="A54" s="57" t="s">
        <v>88</v>
      </c>
      <c r="B54" s="63" t="n">
        <f aca="false">D54+P54</f>
        <v>3259</v>
      </c>
      <c r="C54" s="58"/>
      <c r="D54" s="64" t="n">
        <f aca="false">SUM(E54:K54)+L54+M54+N54</f>
        <v>1</v>
      </c>
      <c r="E54" s="77" t="n">
        <v>1</v>
      </c>
      <c r="F54" s="77" t="n">
        <v>0</v>
      </c>
      <c r="G54" s="77" t="n">
        <v>0</v>
      </c>
      <c r="H54" s="77" t="n">
        <v>0</v>
      </c>
      <c r="I54" s="77" t="n">
        <v>0</v>
      </c>
      <c r="J54" s="77" t="n">
        <v>0</v>
      </c>
      <c r="K54" s="77" t="n">
        <v>0</v>
      </c>
      <c r="L54" s="77" t="n">
        <v>0</v>
      </c>
      <c r="M54" s="77" t="n">
        <v>0</v>
      </c>
      <c r="N54" s="77" t="n">
        <v>0</v>
      </c>
      <c r="P54" s="77" t="n">
        <f aca="false">+[3]SEPT_YTD!$J$50</f>
        <v>3258</v>
      </c>
    </row>
    <row r="55" customFormat="false" ht="12.75" hidden="false" customHeight="true" outlineLevel="2" collapsed="false">
      <c r="A55" s="57"/>
      <c r="B55" s="58"/>
      <c r="C55" s="58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P55" s="73"/>
    </row>
    <row r="56" customFormat="false" ht="12.75" hidden="false" customHeight="true" outlineLevel="1" collapsed="false">
      <c r="A56" s="57" t="s">
        <v>89</v>
      </c>
      <c r="B56" s="74" t="n">
        <f aca="false">B52-B54</f>
        <v>232059.751</v>
      </c>
      <c r="C56" s="58"/>
      <c r="D56" s="74" t="n">
        <f aca="false">D52-D54</f>
        <v>235839.546</v>
      </c>
      <c r="E56" s="74" t="n">
        <f aca="false">E52-E54</f>
        <v>55098.221</v>
      </c>
      <c r="F56" s="74" t="n">
        <f aca="false">F52-F54</f>
        <v>36245.979</v>
      </c>
      <c r="G56" s="74" t="n">
        <f aca="false">G52-G54</f>
        <v>0</v>
      </c>
      <c r="H56" s="74" t="n">
        <f aca="false">H52-H54</f>
        <v>-2672.164</v>
      </c>
      <c r="I56" s="74" t="n">
        <f aca="false">I52-I54</f>
        <v>9.406</v>
      </c>
      <c r="J56" s="74" t="n">
        <f aca="false">J52-J54</f>
        <v>1536.666</v>
      </c>
      <c r="K56" s="74" t="n">
        <f aca="false">K52-K54</f>
        <v>-456.056</v>
      </c>
      <c r="L56" s="74" t="n">
        <f aca="false">L52-L54</f>
        <v>30506.87</v>
      </c>
      <c r="M56" s="74" t="n">
        <f aca="false">M52-M54</f>
        <v>115738.851</v>
      </c>
      <c r="N56" s="74" t="n">
        <f aca="false">N52-N54</f>
        <v>-168.227</v>
      </c>
      <c r="P56" s="74" t="n">
        <f aca="false">P52-P54</f>
        <v>-3779.795</v>
      </c>
    </row>
    <row r="57" customFormat="false" ht="12.75" hidden="false" customHeight="true" outlineLevel="1" collapsed="false">
      <c r="B57" s="42"/>
      <c r="C57" s="42"/>
    </row>
    <row r="58" customFormat="false" ht="12.75" hidden="false" customHeight="true" outlineLevel="0" collapsed="false">
      <c r="A58" s="40" t="s">
        <v>90</v>
      </c>
      <c r="B58" s="64" t="n">
        <f aca="false">D58+P58</f>
        <v>-27059</v>
      </c>
      <c r="C58" s="42"/>
      <c r="D58" s="64" t="n">
        <f aca="false">SUM(E58:N58)</f>
        <v>-27059</v>
      </c>
      <c r="E58" s="77" t="n">
        <v>-58</v>
      </c>
      <c r="F58" s="77" t="n">
        <v>-27000</v>
      </c>
      <c r="G58" s="77" t="n">
        <v>0</v>
      </c>
      <c r="H58" s="77" t="n">
        <v>0</v>
      </c>
      <c r="I58" s="77" t="n">
        <v>-1512</v>
      </c>
      <c r="J58" s="77" t="n">
        <v>7357</v>
      </c>
      <c r="K58" s="77" t="n">
        <v>-5846</v>
      </c>
      <c r="L58" s="77" t="n">
        <v>0</v>
      </c>
      <c r="M58" s="77" t="n">
        <v>0</v>
      </c>
      <c r="N58" s="77" t="n">
        <v>0</v>
      </c>
      <c r="P58" s="77" t="n">
        <f aca="false">+[3]SEPT_YTD!$J$54</f>
        <v>0</v>
      </c>
    </row>
    <row r="59" customFormat="false" ht="12.75" hidden="false" customHeight="true" outlineLevel="0" collapsed="false">
      <c r="B59" s="42"/>
      <c r="C59" s="42"/>
    </row>
    <row r="60" customFormat="false" ht="12.75" hidden="false" customHeight="true" outlineLevel="0" collapsed="false">
      <c r="A60" s="40" t="s">
        <v>91</v>
      </c>
      <c r="B60" s="74" t="n">
        <f aca="false">B56+B58</f>
        <v>205000.751</v>
      </c>
      <c r="C60" s="42"/>
      <c r="D60" s="74" t="n">
        <f aca="false">D56+D58</f>
        <v>208780.546</v>
      </c>
      <c r="E60" s="74" t="n">
        <f aca="false">E56+E58</f>
        <v>55040.221</v>
      </c>
      <c r="F60" s="74" t="n">
        <f aca="false">F56+F58</f>
        <v>9245.97900000001</v>
      </c>
      <c r="G60" s="74" t="n">
        <f aca="false">G56+G58</f>
        <v>0</v>
      </c>
      <c r="H60" s="74" t="n">
        <f aca="false">H56+H58</f>
        <v>-2672.164</v>
      </c>
      <c r="I60" s="74" t="n">
        <f aca="false">I56+I58</f>
        <v>-1502.594</v>
      </c>
      <c r="J60" s="74" t="n">
        <f aca="false">J56+J58</f>
        <v>8893.666</v>
      </c>
      <c r="K60" s="74" t="n">
        <f aca="false">K56+K58</f>
        <v>-6302.056</v>
      </c>
      <c r="L60" s="74" t="n">
        <f aca="false">L56+L58</f>
        <v>30506.87</v>
      </c>
      <c r="M60" s="74" t="n">
        <f aca="false">M56+M58</f>
        <v>115738.851</v>
      </c>
      <c r="N60" s="74" t="n">
        <f aca="false">N56-N58</f>
        <v>-168.227</v>
      </c>
      <c r="P60" s="74" t="n">
        <f aca="false">P56+P58</f>
        <v>-3779.795</v>
      </c>
    </row>
    <row r="61" customFormat="false" ht="12.75" hidden="false" customHeight="true" outlineLevel="0" collapsed="false">
      <c r="B61" s="42"/>
      <c r="C61" s="42"/>
    </row>
    <row r="62" customFormat="false" ht="12.75" hidden="false" customHeight="true" outlineLevel="0" collapsed="false">
      <c r="B62" s="42"/>
      <c r="C62" s="42"/>
    </row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509722222222222" bottom="0.27986111111111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76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O9" activeCellId="0" sqref="O9"/>
    </sheetView>
  </sheetViews>
  <sheetFormatPr defaultColWidth="8.9921875" defaultRowHeight="12.75" customHeight="true" zeroHeight="false" outlineLevelRow="4" outlineLevelCol="0"/>
  <cols>
    <col collapsed="false" customWidth="true" hidden="false" outlineLevel="0" max="1" min="1" style="40" width="67.99"/>
    <col collapsed="false" customWidth="true" hidden="false" outlineLevel="0" max="2" min="2" style="40" width="14.49"/>
    <col collapsed="false" customWidth="true" hidden="false" outlineLevel="0" max="3" min="3" style="40" width="1.82"/>
    <col collapsed="false" customWidth="true" hidden="false" outlineLevel="0" max="4" min="4" style="40" width="11.82"/>
    <col collapsed="false" customWidth="true" hidden="false" outlineLevel="0" max="5" min="5" style="40" width="11.65"/>
    <col collapsed="false" customWidth="true" hidden="false" outlineLevel="0" max="6" min="6" style="40" width="10.82"/>
    <col collapsed="false" customWidth="true" hidden="false" outlineLevel="0" max="7" min="7" style="40" width="12.82"/>
    <col collapsed="false" customWidth="true" hidden="false" outlineLevel="0" max="11" min="8" style="40" width="10.82"/>
    <col collapsed="false" customWidth="true" hidden="true" outlineLevel="0" max="13" min="12" style="40" width="10.82"/>
    <col collapsed="false" customWidth="true" hidden="false" outlineLevel="0" max="16" min="14" style="40" width="12.16"/>
    <col collapsed="false" customWidth="true" hidden="false" outlineLevel="0" max="17" min="17" style="40" width="10.82"/>
    <col collapsed="false" customWidth="true" hidden="false" outlineLevel="0" max="18" min="18" style="40" width="3.65"/>
    <col collapsed="false" customWidth="true" hidden="false" outlineLevel="0" max="19" min="19" style="40" width="9.82"/>
    <col collapsed="false" customWidth="false" hidden="false" outlineLevel="0" max="257" min="20" style="40" width="8.99"/>
  </cols>
  <sheetData>
    <row r="1" customFormat="false" ht="12.75" hidden="false" customHeight="true" outlineLevel="0" collapsed="false">
      <c r="A1" s="41" t="s">
        <v>18</v>
      </c>
      <c r="B1" s="42"/>
      <c r="C1" s="42"/>
      <c r="D1" s="42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customFormat="false" ht="12.75" hidden="false" customHeight="true" outlineLevel="0" collapsed="false">
      <c r="A2" s="44" t="s">
        <v>19</v>
      </c>
      <c r="D2" s="45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customFormat="false" ht="12.75" hidden="false" customHeight="true" outlineLevel="0" collapsed="false">
      <c r="A3" s="47" t="s">
        <v>109</v>
      </c>
      <c r="B3" s="42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</row>
    <row r="4" customFormat="false" ht="12.75" hidden="false" customHeight="true" outlineLevel="0" collapsed="false">
      <c r="A4" s="42"/>
      <c r="B4" s="49" t="s">
        <v>97</v>
      </c>
      <c r="C4" s="50"/>
      <c r="D4" s="51"/>
      <c r="I4" s="52" t="s">
        <v>98</v>
      </c>
      <c r="J4" s="52" t="s">
        <v>28</v>
      </c>
      <c r="K4" s="52" t="s">
        <v>29</v>
      </c>
      <c r="L4" s="52" t="s">
        <v>30</v>
      </c>
      <c r="M4" s="52" t="s">
        <v>31</v>
      </c>
      <c r="N4" s="52" t="s">
        <v>30</v>
      </c>
      <c r="O4" s="52" t="s">
        <v>32</v>
      </c>
      <c r="P4" s="52" t="s">
        <v>99</v>
      </c>
      <c r="S4" s="53" t="s">
        <v>21</v>
      </c>
    </row>
    <row r="5" customFormat="false" ht="12.75" hidden="false" customHeight="true" outlineLevel="0" collapsed="false">
      <c r="A5" s="54" t="s">
        <v>34</v>
      </c>
      <c r="B5" s="55" t="s">
        <v>100</v>
      </c>
      <c r="C5" s="52"/>
      <c r="D5" s="51" t="s">
        <v>35</v>
      </c>
      <c r="E5" s="51" t="s">
        <v>22</v>
      </c>
      <c r="F5" s="51" t="s">
        <v>23</v>
      </c>
      <c r="G5" s="51" t="s">
        <v>24</v>
      </c>
      <c r="H5" s="51" t="s">
        <v>25</v>
      </c>
      <c r="I5" s="51" t="n">
        <v>543</v>
      </c>
      <c r="J5" s="51" t="n">
        <v>584</v>
      </c>
      <c r="K5" s="51" t="n">
        <v>583</v>
      </c>
      <c r="L5" s="51" t="s">
        <v>36</v>
      </c>
      <c r="M5" s="51"/>
      <c r="N5" s="51" t="s">
        <v>37</v>
      </c>
      <c r="O5" s="51" t="s">
        <v>38</v>
      </c>
      <c r="P5" s="51" t="s">
        <v>101</v>
      </c>
      <c r="Q5" s="51" t="s">
        <v>33</v>
      </c>
      <c r="S5" s="56" t="s">
        <v>102</v>
      </c>
    </row>
    <row r="6" customFormat="false" ht="12.75" hidden="false" customHeight="true" outlineLevel="2" collapsed="false">
      <c r="A6" s="57"/>
      <c r="B6" s="58"/>
      <c r="C6" s="58"/>
      <c r="D6" s="59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</row>
    <row r="7" customFormat="false" ht="12.75" hidden="false" customHeight="true" outlineLevel="4" collapsed="false">
      <c r="A7" s="61" t="s">
        <v>39</v>
      </c>
      <c r="B7" s="58"/>
      <c r="C7" s="58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</row>
    <row r="8" customFormat="false" ht="12.75" hidden="false" customHeight="true" outlineLevel="4" collapsed="false">
      <c r="A8" s="57" t="s">
        <v>40</v>
      </c>
      <c r="B8" s="58" t="n">
        <f aca="false">D8+S8</f>
        <v>21773.645</v>
      </c>
      <c r="C8" s="58"/>
      <c r="D8" s="62" t="n">
        <f aca="false">SUM(E8:M8)+O8+P8+Q8</f>
        <v>23998.865</v>
      </c>
      <c r="E8" s="62" t="n">
        <f aca="false">+'AUGYTD '!E8-'JULYYTD '!E8</f>
        <v>3356.94999999998</v>
      </c>
      <c r="F8" s="62" t="n">
        <f aca="false">+'AUGYTD '!F8-'JULYYTD '!F8</f>
        <v>5390.50899999999</v>
      </c>
      <c r="G8" s="62" t="n">
        <f aca="false">+'AUGYTD '!G8-'JULYYTD '!G8</f>
        <v>12434.078</v>
      </c>
      <c r="H8" s="62" t="n">
        <f aca="false">+'AUGYTD '!H8-'JULYYTD '!H8</f>
        <v>362.703999999999</v>
      </c>
      <c r="I8" s="62" t="n">
        <f aca="false">+'AUGYTD '!I8-'JULYYTD '!I8</f>
        <v>-3.033</v>
      </c>
      <c r="J8" s="62" t="n">
        <f aca="false">+'AUGYTD '!J8-'JULYYTD '!J8</f>
        <v>-208.261</v>
      </c>
      <c r="K8" s="62" t="n">
        <f aca="false">+'AUGYTD '!K8-'JULYYTD '!K8</f>
        <v>8.44199999999998</v>
      </c>
      <c r="L8" s="62" t="n">
        <f aca="false">+'AUGYTD '!L8-'JULYYTD '!L8</f>
        <v>0</v>
      </c>
      <c r="M8" s="62" t="n">
        <f aca="false">+'AUGYTD '!M8-'JULYYTD '!M8</f>
        <v>0</v>
      </c>
      <c r="N8" s="62" t="n">
        <f aca="false">M8+L8</f>
        <v>0</v>
      </c>
      <c r="O8" s="62" t="n">
        <f aca="false">+'AUGYTD '!O8-'JULYYTD '!O8</f>
        <v>2554.591</v>
      </c>
      <c r="P8" s="62" t="n">
        <f aca="false">+'AUGYTD '!P8-'JULYYTD '!P8</f>
        <v>189.848</v>
      </c>
      <c r="Q8" s="62" t="n">
        <f aca="false">+'AUGYTD '!Q8-'JULYYTD '!Q8</f>
        <v>-86.9629999999999</v>
      </c>
      <c r="S8" s="62" t="n">
        <f aca="false">+'AUGYTD '!S8-'JULYYTD '!S8</f>
        <v>-2225.22</v>
      </c>
    </row>
    <row r="9" customFormat="false" ht="12.75" hidden="false" customHeight="true" outlineLevel="4" collapsed="false">
      <c r="A9" s="57" t="s">
        <v>41</v>
      </c>
      <c r="B9" s="63" t="n">
        <f aca="false">D9+S9</f>
        <v>1444.312</v>
      </c>
      <c r="C9" s="58"/>
      <c r="D9" s="64" t="n">
        <f aca="false">SUM(E9:M9)+O9+P9+Q9</f>
        <v>1444.312</v>
      </c>
      <c r="E9" s="64" t="n">
        <f aca="false">+'AUGYTD '!E9-'JULYYTD '!E9</f>
        <v>-1202.166</v>
      </c>
      <c r="F9" s="64" t="n">
        <f aca="false">+'AUGYTD '!F9-'JULYYTD '!F9</f>
        <v>-125.434</v>
      </c>
      <c r="G9" s="64" t="n">
        <f aca="false">+'AUGYTD '!G9-'JULYYTD '!G9</f>
        <v>0</v>
      </c>
      <c r="H9" s="64" t="n">
        <f aca="false">+'AUGYTD '!H9-'JULYYTD '!H9</f>
        <v>292.657</v>
      </c>
      <c r="I9" s="64" t="n">
        <f aca="false">+'AUGYTD '!I9-'JULYYTD '!I9</f>
        <v>0</v>
      </c>
      <c r="J9" s="64" t="n">
        <f aca="false">+'AUGYTD '!J9-'JULYYTD '!J9</f>
        <v>27.117</v>
      </c>
      <c r="K9" s="64" t="n">
        <f aca="false">+'AUGYTD '!K9-'JULYYTD '!K9</f>
        <v>0</v>
      </c>
      <c r="L9" s="64" t="n">
        <f aca="false">+'AUGYTD '!L9-'JULYYTD '!L9</f>
        <v>0</v>
      </c>
      <c r="M9" s="64" t="n">
        <f aca="false">+'AUGYTD '!M9-'JULYYTD '!M9</f>
        <v>0</v>
      </c>
      <c r="N9" s="64" t="n">
        <f aca="false">M9+L9</f>
        <v>0</v>
      </c>
      <c r="O9" s="64" t="n">
        <f aca="false">+'AUGYTD '!O9-'JULYYTD '!O9</f>
        <v>2452.138</v>
      </c>
      <c r="P9" s="64" t="n">
        <f aca="false">+'AUGYTD '!P9-'JULYYTD '!P9</f>
        <v>0</v>
      </c>
      <c r="Q9" s="64" t="n">
        <f aca="false">+'AUGYTD '!Q9-'JULYYTD '!Q9</f>
        <v>0</v>
      </c>
      <c r="S9" s="64" t="n">
        <f aca="false">+'AUGYTD '!S9-'JULYYTD '!S9</f>
        <v>0</v>
      </c>
    </row>
    <row r="10" customFormat="false" ht="12.75" hidden="false" customHeight="true" outlineLevel="4" collapsed="false">
      <c r="A10" s="57" t="s">
        <v>42</v>
      </c>
      <c r="B10" s="65" t="n">
        <f aca="false">B8+B9</f>
        <v>23217.957</v>
      </c>
      <c r="C10" s="58"/>
      <c r="D10" s="65" t="n">
        <f aca="false">D8+D9</f>
        <v>25443.177</v>
      </c>
      <c r="E10" s="65" t="n">
        <f aca="false">E8+E9</f>
        <v>2154.78399999998</v>
      </c>
      <c r="F10" s="65" t="n">
        <f aca="false">F8+F9</f>
        <v>5265.07499999999</v>
      </c>
      <c r="G10" s="65" t="n">
        <f aca="false">G8+G9</f>
        <v>12434.078</v>
      </c>
      <c r="H10" s="65" t="n">
        <f aca="false">H8+H9</f>
        <v>655.360999999999</v>
      </c>
      <c r="I10" s="65" t="n">
        <f aca="false">I8+I9</f>
        <v>-3.033</v>
      </c>
      <c r="J10" s="65" t="n">
        <f aca="false">J8+J9</f>
        <v>-181.144</v>
      </c>
      <c r="K10" s="65" t="n">
        <f aca="false">K8+K9</f>
        <v>8.44199999999998</v>
      </c>
      <c r="L10" s="65" t="n">
        <f aca="false">L8+L9</f>
        <v>0</v>
      </c>
      <c r="M10" s="65" t="n">
        <f aca="false">M8+M9</f>
        <v>0</v>
      </c>
      <c r="N10" s="65" t="n">
        <f aca="false">N8</f>
        <v>0</v>
      </c>
      <c r="O10" s="65" t="n">
        <f aca="false">O8+O9</f>
        <v>5006.729</v>
      </c>
      <c r="P10" s="65" t="n">
        <f aca="false">P8+P9</f>
        <v>189.848</v>
      </c>
      <c r="Q10" s="65" t="n">
        <f aca="false">Q8+Q9</f>
        <v>-86.9629999999999</v>
      </c>
      <c r="S10" s="65" t="n">
        <f aca="false">S8+S9</f>
        <v>-2225.22</v>
      </c>
    </row>
    <row r="11" customFormat="false" ht="12.75" hidden="false" customHeight="true" outlineLevel="4" collapsed="false">
      <c r="A11" s="57"/>
      <c r="B11" s="65"/>
      <c r="C11" s="58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S11" s="65"/>
    </row>
    <row r="12" customFormat="false" ht="12.75" hidden="false" customHeight="true" outlineLevel="4" collapsed="false">
      <c r="A12" s="57" t="s">
        <v>43</v>
      </c>
      <c r="B12" s="58" t="n">
        <f aca="false">D12+S12</f>
        <v>5478.155</v>
      </c>
      <c r="C12" s="58"/>
      <c r="D12" s="62" t="n">
        <f aca="false">SUM(E12:M12)+O12+P12+Q12</f>
        <v>5478.155</v>
      </c>
      <c r="E12" s="62" t="n">
        <f aca="false">+'AUGYTD '!E12-'JULYYTD '!E12</f>
        <v>4020.418</v>
      </c>
      <c r="F12" s="62" t="n">
        <f aca="false">+'AUGYTD '!F12-'JULYYTD '!F12</f>
        <v>1457.737</v>
      </c>
      <c r="G12" s="62" t="n">
        <f aca="false">+'AUGYTD '!G12-'JULYYTD '!G12</f>
        <v>0</v>
      </c>
      <c r="H12" s="62" t="n">
        <f aca="false">+'AUGYTD '!H12-'JULYYTD '!H12</f>
        <v>0</v>
      </c>
      <c r="I12" s="62" t="n">
        <f aca="false">+'AUGYTD '!I12-'JULYYTD '!I12</f>
        <v>0</v>
      </c>
      <c r="J12" s="62" t="n">
        <f aca="false">+'AUGYTD '!J12-'JULYYTD '!J12</f>
        <v>0</v>
      </c>
      <c r="K12" s="62" t="n">
        <f aca="false">+'AUGYTD '!K12-'JULYYTD '!K12</f>
        <v>0</v>
      </c>
      <c r="L12" s="62" t="n">
        <f aca="false">+'AUGYTD '!L12-'JULYYTD '!L12</f>
        <v>0</v>
      </c>
      <c r="M12" s="62" t="n">
        <f aca="false">+'AUGYTD '!M12-'JULYYTD '!M12</f>
        <v>0</v>
      </c>
      <c r="N12" s="62" t="n">
        <f aca="false">M12+L12</f>
        <v>0</v>
      </c>
      <c r="O12" s="62" t="n">
        <f aca="false">+'AUGYTD '!O12-'JULYYTD '!O12</f>
        <v>0</v>
      </c>
      <c r="P12" s="62" t="n">
        <f aca="false">+'AUGYTD '!P12-'JULYYTD '!P12</f>
        <v>0</v>
      </c>
      <c r="Q12" s="62" t="n">
        <f aca="false">+'AUGYTD '!Q12-'JULYYTD '!Q12</f>
        <v>0</v>
      </c>
      <c r="S12" s="62" t="n">
        <f aca="false">+'AUGYTD '!S12-'JULYYTD '!S12</f>
        <v>0</v>
      </c>
    </row>
    <row r="13" customFormat="false" ht="12.75" hidden="false" customHeight="true" outlineLevel="4" collapsed="false">
      <c r="A13" s="57" t="s">
        <v>45</v>
      </c>
      <c r="B13" s="58" t="n">
        <f aca="false">D13+S13</f>
        <v>2136.955</v>
      </c>
      <c r="C13" s="58"/>
      <c r="D13" s="62" t="n">
        <f aca="false">SUM(E13:M13)+O13+P13+Q13</f>
        <v>2131.892</v>
      </c>
      <c r="E13" s="62" t="n">
        <f aca="false">+'AUGYTD '!E13-'JULYYTD '!E13</f>
        <v>1919.887</v>
      </c>
      <c r="F13" s="62" t="n">
        <f aca="false">+'AUGYTD '!F13-'JULYYTD '!F13</f>
        <v>194.659</v>
      </c>
      <c r="G13" s="62" t="n">
        <f aca="false">+'AUGYTD '!G13-'JULYYTD '!G13</f>
        <v>0</v>
      </c>
      <c r="H13" s="62" t="n">
        <f aca="false">+'AUGYTD '!H13-'JULYYTD '!H13</f>
        <v>17.953</v>
      </c>
      <c r="I13" s="62" t="n">
        <f aca="false">+'AUGYTD '!I13-'JULYYTD '!I13</f>
        <v>0</v>
      </c>
      <c r="J13" s="62" t="n">
        <f aca="false">+'AUGYTD '!J13-'JULYYTD '!J13</f>
        <v>0</v>
      </c>
      <c r="K13" s="62" t="n">
        <f aca="false">+'AUGYTD '!K13-'JULYYTD '!K13</f>
        <v>-0.607</v>
      </c>
      <c r="L13" s="62" t="n">
        <f aca="false">+'AUGYTD '!L13-'JULYYTD '!L13</f>
        <v>0</v>
      </c>
      <c r="M13" s="62" t="n">
        <f aca="false">+'AUGYTD '!M13-'JULYYTD '!M13</f>
        <v>0</v>
      </c>
      <c r="N13" s="62" t="n">
        <f aca="false">M13+L13</f>
        <v>0</v>
      </c>
      <c r="O13" s="62" t="n">
        <f aca="false">+'AUGYTD '!O13-'JULYYTD '!O13</f>
        <v>0</v>
      </c>
      <c r="P13" s="62" t="n">
        <f aca="false">+'AUGYTD '!P13-'JULYYTD '!P13</f>
        <v>0</v>
      </c>
      <c r="Q13" s="62" t="n">
        <f aca="false">+'AUGYTD '!Q13-'JULYYTD '!Q13</f>
        <v>0</v>
      </c>
      <c r="S13" s="62" t="n">
        <f aca="false">+'AUGYTD '!S13-'JULYYTD '!S13</f>
        <v>5.06299999999999</v>
      </c>
    </row>
    <row r="14" customFormat="false" ht="12.75" hidden="false" customHeight="true" outlineLevel="4" collapsed="false">
      <c r="A14" s="57" t="s">
        <v>47</v>
      </c>
      <c r="B14" s="58" t="n">
        <f aca="false">D14+S14</f>
        <v>0</v>
      </c>
      <c r="C14" s="58"/>
      <c r="D14" s="62" t="n">
        <f aca="false">SUM(E14:M14)+O14+P14+Q14</f>
        <v>0</v>
      </c>
      <c r="E14" s="62" t="n">
        <f aca="false">+'AUGYTD '!E14-'JULYYTD '!E14</f>
        <v>0</v>
      </c>
      <c r="F14" s="62" t="n">
        <f aca="false">+'AUGYTD '!F14-'JULYYTD '!F14</f>
        <v>0</v>
      </c>
      <c r="G14" s="62" t="n">
        <f aca="false">+'AUGYTD '!G14-'JULYYTD '!G14</f>
        <v>0</v>
      </c>
      <c r="H14" s="62" t="n">
        <f aca="false">+'AUGYTD '!H14-'JULYYTD '!H14</f>
        <v>0</v>
      </c>
      <c r="I14" s="62" t="n">
        <f aca="false">+'AUGYTD '!I14-'JULYYTD '!I14</f>
        <v>0</v>
      </c>
      <c r="J14" s="62" t="n">
        <f aca="false">+'AUGYTD '!J14-'JULYYTD '!J14</f>
        <v>0</v>
      </c>
      <c r="K14" s="62" t="n">
        <f aca="false">+'AUGYTD '!K14-'JULYYTD '!K14</f>
        <v>0</v>
      </c>
      <c r="L14" s="62" t="n">
        <f aca="false">+'AUGYTD '!L14-'JULYYTD '!L14</f>
        <v>0</v>
      </c>
      <c r="M14" s="62" t="n">
        <f aca="false">+'AUGYTD '!M14-'JULYYTD '!M14</f>
        <v>0</v>
      </c>
      <c r="N14" s="62" t="n">
        <f aca="false">M14+L14</f>
        <v>0</v>
      </c>
      <c r="O14" s="62" t="n">
        <f aca="false">+'AUGYTD '!O14-'JULYYTD '!O14</f>
        <v>0</v>
      </c>
      <c r="P14" s="62" t="n">
        <f aca="false">+'AUGYTD '!P14-'JULYYTD '!P14</f>
        <v>0</v>
      </c>
      <c r="Q14" s="62" t="n">
        <f aca="false">+'AUGYTD '!Q14-'JULYYTD '!Q14</f>
        <v>0</v>
      </c>
      <c r="S14" s="62" t="n">
        <f aca="false">+'AUGYTD '!S14-'JULYYTD '!S14</f>
        <v>0</v>
      </c>
    </row>
    <row r="15" customFormat="false" ht="12.75" hidden="false" customHeight="true" outlineLevel="4" collapsed="false">
      <c r="A15" s="57" t="s">
        <v>48</v>
      </c>
      <c r="B15" s="58" t="n">
        <f aca="false">D15+S15</f>
        <v>0</v>
      </c>
      <c r="C15" s="58"/>
      <c r="D15" s="62" t="n">
        <f aca="false">SUM(E15:M15)+O15+P15+Q15</f>
        <v>0</v>
      </c>
      <c r="E15" s="62" t="n">
        <f aca="false">+'AUGYTD '!E15-'JULYYTD '!E15</f>
        <v>0</v>
      </c>
      <c r="F15" s="62" t="n">
        <f aca="false">+'AUGYTD '!F15-'JULYYTD '!F15</f>
        <v>0</v>
      </c>
      <c r="G15" s="62" t="n">
        <f aca="false">+'AUGYTD '!G15-'JULYYTD '!G15</f>
        <v>0</v>
      </c>
      <c r="H15" s="62" t="n">
        <f aca="false">+'AUGYTD '!H15-'JULYYTD '!H15</f>
        <v>0</v>
      </c>
      <c r="I15" s="62" t="n">
        <f aca="false">+'AUGYTD '!I15-'JULYYTD '!I15</f>
        <v>0</v>
      </c>
      <c r="J15" s="62" t="n">
        <f aca="false">+'AUGYTD '!J15-'JULYYTD '!J15</f>
        <v>0</v>
      </c>
      <c r="K15" s="62" t="n">
        <f aca="false">+'AUGYTD '!K15-'JULYYTD '!K15</f>
        <v>0</v>
      </c>
      <c r="L15" s="62" t="n">
        <f aca="false">+'AUGYTD '!L15-'JULYYTD '!L15</f>
        <v>0</v>
      </c>
      <c r="M15" s="62" t="n">
        <f aca="false">+'AUGYTD '!M15-'JULYYTD '!M15</f>
        <v>0</v>
      </c>
      <c r="N15" s="62" t="n">
        <f aca="false">M15+L15</f>
        <v>0</v>
      </c>
      <c r="O15" s="62" t="n">
        <f aca="false">+'AUGYTD '!O15-'JULYYTD '!O15</f>
        <v>0</v>
      </c>
      <c r="P15" s="62" t="n">
        <f aca="false">+'AUGYTD '!P15-'JULYYTD '!P15</f>
        <v>0</v>
      </c>
      <c r="Q15" s="62" t="n">
        <f aca="false">+'AUGYTD '!Q15-'JULYYTD '!Q15</f>
        <v>0</v>
      </c>
      <c r="S15" s="62" t="n">
        <f aca="false">+'AUGYTD '!S15-'JULYYTD '!S15</f>
        <v>0</v>
      </c>
    </row>
    <row r="16" customFormat="false" ht="12.75" hidden="false" customHeight="true" outlineLevel="4" collapsed="false">
      <c r="A16" s="57" t="s">
        <v>51</v>
      </c>
      <c r="B16" s="58" t="n">
        <f aca="false">D16+S16</f>
        <v>-13259.28</v>
      </c>
      <c r="C16" s="58"/>
      <c r="D16" s="62" t="n">
        <f aca="false">SUM(E16:M16)+O16+P16+Q16</f>
        <v>-13572.451</v>
      </c>
      <c r="E16" s="62" t="n">
        <f aca="false">+'AUGYTD '!E16-'JULYYTD '!E16</f>
        <v>-386.994</v>
      </c>
      <c r="F16" s="62" t="n">
        <f aca="false">+'AUGYTD '!F16-'JULYYTD '!F16</f>
        <v>0</v>
      </c>
      <c r="G16" s="62" t="n">
        <f aca="false">+'AUGYTD '!G16-'JULYYTD '!G16</f>
        <v>-12434.078</v>
      </c>
      <c r="H16" s="62" t="n">
        <f aca="false">+'AUGYTD '!H16-'JULYYTD '!H16</f>
        <v>-751.379</v>
      </c>
      <c r="I16" s="62" t="n">
        <f aca="false">+'AUGYTD '!I16-'JULYYTD '!I16</f>
        <v>0</v>
      </c>
      <c r="J16" s="62" t="n">
        <f aca="false">+'AUGYTD '!J16-'JULYYTD '!J16</f>
        <v>0</v>
      </c>
      <c r="K16" s="62" t="n">
        <f aca="false">+'AUGYTD '!K16-'JULYYTD '!K16</f>
        <v>0</v>
      </c>
      <c r="L16" s="62" t="n">
        <f aca="false">+'AUGYTD '!L16-'JULYYTD '!L16</f>
        <v>0</v>
      </c>
      <c r="M16" s="62" t="n">
        <f aca="false">+'AUGYTD '!M16-'JULYYTD '!M16</f>
        <v>0</v>
      </c>
      <c r="N16" s="62" t="n">
        <f aca="false">M16+L16</f>
        <v>0</v>
      </c>
      <c r="O16" s="62" t="n">
        <f aca="false">+'AUGYTD '!O16-'JULYYTD '!O16</f>
        <v>0</v>
      </c>
      <c r="P16" s="62" t="n">
        <f aca="false">+'AUGYTD '!P16-'JULYYTD '!P16</f>
        <v>0</v>
      </c>
      <c r="Q16" s="62" t="n">
        <f aca="false">+'AUGYTD '!Q16-'JULYYTD '!Q16</f>
        <v>0</v>
      </c>
      <c r="S16" s="62" t="n">
        <f aca="false">+'AUGYTD '!S16-'JULYYTD '!S16</f>
        <v>313.171</v>
      </c>
    </row>
    <row r="17" customFormat="false" ht="12.75" hidden="false" customHeight="true" outlineLevel="4" collapsed="false">
      <c r="A17" s="57" t="s">
        <v>52</v>
      </c>
      <c r="B17" s="58" t="n">
        <f aca="false">D17+S17</f>
        <v>2552</v>
      </c>
      <c r="C17" s="58"/>
      <c r="D17" s="62" t="n">
        <f aca="false">SUM(E17:M17)+O17+P17+Q17</f>
        <v>817</v>
      </c>
      <c r="E17" s="62" t="n">
        <f aca="false">+'AUGYTD '!E17-'JULYYTD '!E17</f>
        <v>0</v>
      </c>
      <c r="F17" s="62" t="n">
        <f aca="false">+'AUGYTD '!F17-'JULYYTD '!F17</f>
        <v>0</v>
      </c>
      <c r="G17" s="62" t="n">
        <f aca="false">+'AUGYTD '!G17-'JULYYTD '!G17</f>
        <v>0</v>
      </c>
      <c r="H17" s="62" t="n">
        <f aca="false">+'AUGYTD '!H17-'JULYYTD '!H17</f>
        <v>817</v>
      </c>
      <c r="I17" s="62" t="n">
        <f aca="false">+'AUGYTD '!I17-'JULYYTD '!I17</f>
        <v>0</v>
      </c>
      <c r="J17" s="62" t="n">
        <f aca="false">+'AUGYTD '!J17-'JULYYTD '!J17</f>
        <v>0</v>
      </c>
      <c r="K17" s="62" t="n">
        <f aca="false">+'AUGYTD '!K17-'JULYYTD '!K17</f>
        <v>0</v>
      </c>
      <c r="L17" s="62" t="n">
        <f aca="false">+'AUGYTD '!L17-'JULYYTD '!L17</f>
        <v>0</v>
      </c>
      <c r="M17" s="62" t="n">
        <f aca="false">+'AUGYTD '!M17-'JULYYTD '!M17</f>
        <v>0</v>
      </c>
      <c r="N17" s="62" t="n">
        <f aca="false">M17+L17</f>
        <v>0</v>
      </c>
      <c r="O17" s="62" t="n">
        <f aca="false">+'AUGYTD '!O17-'JULYYTD '!O17</f>
        <v>0</v>
      </c>
      <c r="P17" s="62" t="n">
        <f aca="false">+'AUGYTD '!P17-'JULYYTD '!P17</f>
        <v>0</v>
      </c>
      <c r="Q17" s="62" t="n">
        <f aca="false">+'AUGYTD '!Q17-'JULYYTD '!Q17</f>
        <v>0</v>
      </c>
      <c r="S17" s="62" t="n">
        <f aca="false">+'AUGYTD '!S17-'JULYYTD '!S17</f>
        <v>1735</v>
      </c>
    </row>
    <row r="18" customFormat="false" ht="12.75" hidden="false" customHeight="true" outlineLevel="4" collapsed="false">
      <c r="A18" s="57" t="s">
        <v>53</v>
      </c>
      <c r="B18" s="63" t="n">
        <f aca="false">D18+S18</f>
        <v>-3549</v>
      </c>
      <c r="C18" s="58"/>
      <c r="D18" s="62" t="n">
        <f aca="false">SUM(E18:M18)+O18+P18+Q18</f>
        <v>-3548</v>
      </c>
      <c r="E18" s="62" t="n">
        <f aca="false">+'AUGYTD '!E18-'JULYYTD '!E18</f>
        <v>-2786</v>
      </c>
      <c r="F18" s="62" t="n">
        <f aca="false">+'AUGYTD '!F18-'JULYYTD '!F18</f>
        <v>477</v>
      </c>
      <c r="G18" s="62" t="n">
        <f aca="false">+'AUGYTD '!G18-'JULYYTD '!G18</f>
        <v>0</v>
      </c>
      <c r="H18" s="62" t="n">
        <f aca="false">+'AUGYTD '!H18-'JULYYTD '!H18</f>
        <v>0</v>
      </c>
      <c r="I18" s="62" t="n">
        <f aca="false">+'AUGYTD '!I18-'JULYYTD '!I18</f>
        <v>-14</v>
      </c>
      <c r="J18" s="62" t="n">
        <f aca="false">+'AUGYTD '!J18-'JULYYTD '!J18</f>
        <v>253</v>
      </c>
      <c r="K18" s="62" t="n">
        <f aca="false">+'AUGYTD '!K18-'JULYYTD '!K18</f>
        <v>17</v>
      </c>
      <c r="L18" s="62" t="n">
        <f aca="false">+'AUGYTD '!L18-'JULYYTD '!L18</f>
        <v>0</v>
      </c>
      <c r="M18" s="62" t="n">
        <f aca="false">+'AUGYTD '!M18-'JULYYTD '!M18</f>
        <v>0</v>
      </c>
      <c r="N18" s="62" t="n">
        <f aca="false">M18+L18</f>
        <v>0</v>
      </c>
      <c r="O18" s="62" t="n">
        <f aca="false">+'AUGYTD '!O18-'JULYYTD '!O18</f>
        <v>-1228</v>
      </c>
      <c r="P18" s="62" t="n">
        <f aca="false">+'AUGYTD '!P18-'JULYYTD '!P18</f>
        <v>0</v>
      </c>
      <c r="Q18" s="62" t="n">
        <f aca="false">+'AUGYTD '!Q18-'JULYYTD '!Q18</f>
        <v>-267</v>
      </c>
      <c r="S18" s="62" t="n">
        <f aca="false">+'AUGYTD '!S18-'JULYYTD '!S18</f>
        <v>-1</v>
      </c>
    </row>
    <row r="19" customFormat="false" ht="12.75" hidden="false" customHeight="true" outlineLevel="4" collapsed="false">
      <c r="A19" s="57" t="s">
        <v>54</v>
      </c>
      <c r="B19" s="66" t="n">
        <f aca="false">SUM(B10:B18)</f>
        <v>16576.787</v>
      </c>
      <c r="C19" s="58"/>
      <c r="D19" s="66" t="n">
        <f aca="false">SUM(D10:D18)</f>
        <v>16749.773</v>
      </c>
      <c r="E19" s="66" t="n">
        <f aca="false">SUM(E10:E18)</f>
        <v>4922.09499999998</v>
      </c>
      <c r="F19" s="66" t="n">
        <f aca="false">SUM(F10:F18)</f>
        <v>7394.47099999999</v>
      </c>
      <c r="G19" s="66" t="n">
        <f aca="false">SUM(G10:G18)</f>
        <v>0</v>
      </c>
      <c r="H19" s="66" t="n">
        <f aca="false">SUM(H10:H18)</f>
        <v>738.935</v>
      </c>
      <c r="I19" s="66" t="n">
        <f aca="false">SUM(I10:I18)</f>
        <v>-17.033</v>
      </c>
      <c r="J19" s="66" t="n">
        <f aca="false">SUM(J10:J18)</f>
        <v>71.8559999999999</v>
      </c>
      <c r="K19" s="66" t="n">
        <f aca="false">SUM(K10:K18)</f>
        <v>24.835</v>
      </c>
      <c r="L19" s="66" t="n">
        <f aca="false">SUM(L10:L18)</f>
        <v>0</v>
      </c>
      <c r="M19" s="66" t="n">
        <f aca="false">SUM(M10:M18)</f>
        <v>0</v>
      </c>
      <c r="N19" s="66" t="n">
        <f aca="false">SUM(N10:N18)</f>
        <v>0</v>
      </c>
      <c r="O19" s="66" t="n">
        <f aca="false">SUM(O10:O18)</f>
        <v>3778.729</v>
      </c>
      <c r="P19" s="66" t="n">
        <f aca="false">SUM(P10:P18)</f>
        <v>189.848</v>
      </c>
      <c r="Q19" s="66" t="n">
        <f aca="false">SUM(Q10:Q18)</f>
        <v>-353.963</v>
      </c>
      <c r="S19" s="66" t="n">
        <f aca="false">SUM(S10:S18)</f>
        <v>-172.985999999999</v>
      </c>
    </row>
    <row r="20" customFormat="false" ht="12.75" hidden="false" customHeight="true" outlineLevel="4" collapsed="false">
      <c r="A20" s="57"/>
      <c r="B20" s="42"/>
      <c r="C20" s="58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S20" s="42"/>
    </row>
    <row r="21" customFormat="false" ht="12.75" hidden="false" customHeight="true" outlineLevel="4" collapsed="false">
      <c r="A21" s="57" t="s">
        <v>103</v>
      </c>
      <c r="B21" s="58"/>
      <c r="C21" s="58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S21" s="42"/>
    </row>
    <row r="22" customFormat="false" ht="12.75" hidden="false" customHeight="true" outlineLevel="4" collapsed="false">
      <c r="A22" s="57" t="s">
        <v>56</v>
      </c>
      <c r="B22" s="58" t="n">
        <f aca="false">D22+S22</f>
        <v>-5062</v>
      </c>
      <c r="C22" s="58"/>
      <c r="D22" s="62" t="n">
        <f aca="false">SUM(E22:M22)+O22+P22+Q22</f>
        <v>-4999</v>
      </c>
      <c r="E22" s="62" t="n">
        <f aca="false">+'AUGYTD '!E22-'JULYYTD '!E22</f>
        <v>-711</v>
      </c>
      <c r="F22" s="62" t="n">
        <f aca="false">+'AUGYTD '!F22-'JULYYTD '!F22</f>
        <v>-3260</v>
      </c>
      <c r="G22" s="62" t="n">
        <f aca="false">+'AUGYTD '!G22-'JULYYTD '!G22</f>
        <v>0</v>
      </c>
      <c r="H22" s="62" t="n">
        <f aca="false">+'AUGYTD '!H22-'JULYYTD '!H22</f>
        <v>5</v>
      </c>
      <c r="I22" s="62" t="n">
        <f aca="false">+'AUGYTD '!I22-'JULYYTD '!I22</f>
        <v>0</v>
      </c>
      <c r="J22" s="62" t="n">
        <f aca="false">+'AUGYTD '!J22-'JULYYTD '!J22</f>
        <v>0</v>
      </c>
      <c r="K22" s="62" t="n">
        <f aca="false">+'AUGYTD '!K22-'JULYYTD '!K22</f>
        <v>0</v>
      </c>
      <c r="L22" s="62" t="n">
        <f aca="false">+'AUGYTD '!L22-'JULYYTD '!L22</f>
        <v>0</v>
      </c>
      <c r="M22" s="62" t="n">
        <f aca="false">+'AUGYTD '!M22-'JULYYTD '!M22</f>
        <v>0</v>
      </c>
      <c r="N22" s="62" t="n">
        <f aca="false">M22+L22</f>
        <v>0</v>
      </c>
      <c r="O22" s="62" t="n">
        <f aca="false">+'AUGYTD '!O22-'JULYYTD '!O22</f>
        <v>-1206</v>
      </c>
      <c r="P22" s="62" t="n">
        <f aca="false">+'AUGYTD '!P22-'JULYYTD '!P22</f>
        <v>0</v>
      </c>
      <c r="Q22" s="62" t="n">
        <f aca="false">+'AUGYTD '!Q22-'JULYYTD '!Q22</f>
        <v>173</v>
      </c>
      <c r="S22" s="62" t="n">
        <f aca="false">+'AUGYTD '!S22-'JULYYTD '!S22</f>
        <v>-63</v>
      </c>
    </row>
    <row r="23" customFormat="false" ht="12.75" hidden="false" customHeight="true" outlineLevel="4" collapsed="false">
      <c r="A23" s="57" t="s">
        <v>58</v>
      </c>
      <c r="B23" s="58" t="n">
        <f aca="false">D23+S23</f>
        <v>-2547</v>
      </c>
      <c r="C23" s="58"/>
      <c r="D23" s="62" t="n">
        <f aca="false">SUM(E23:M23)+O23+P23+Q23</f>
        <v>-2547</v>
      </c>
      <c r="E23" s="62" t="n">
        <f aca="false">+'AUGYTD '!E23-'JULYYTD '!E23</f>
        <v>5833</v>
      </c>
      <c r="F23" s="62" t="n">
        <f aca="false">+'AUGYTD '!F23-'JULYYTD '!F23</f>
        <v>-4818</v>
      </c>
      <c r="G23" s="62" t="n">
        <f aca="false">+'AUGYTD '!G23-'JULYYTD '!G23</f>
        <v>0</v>
      </c>
      <c r="H23" s="62" t="n">
        <f aca="false">+'AUGYTD '!H23-'JULYYTD '!H23</f>
        <v>-1423</v>
      </c>
      <c r="I23" s="62" t="n">
        <f aca="false">+'AUGYTD '!I23-'JULYYTD '!I23</f>
        <v>16</v>
      </c>
      <c r="J23" s="62" t="n">
        <f aca="false">+'AUGYTD '!J23-'JULYYTD '!J23</f>
        <v>0</v>
      </c>
      <c r="K23" s="62" t="n">
        <f aca="false">+'AUGYTD '!K23-'JULYYTD '!K23</f>
        <v>-77</v>
      </c>
      <c r="L23" s="62" t="n">
        <f aca="false">+'AUGYTD '!L23-'JULYYTD '!L23</f>
        <v>0</v>
      </c>
      <c r="M23" s="62" t="n">
        <f aca="false">+'AUGYTD '!M23-'JULYYTD '!M23</f>
        <v>0</v>
      </c>
      <c r="N23" s="62" t="n">
        <f aca="false">M23+L23</f>
        <v>0</v>
      </c>
      <c r="O23" s="62" t="n">
        <f aca="false">+'AUGYTD '!O23-'JULYYTD '!O23</f>
        <v>-5298</v>
      </c>
      <c r="P23" s="62" t="n">
        <f aca="false">+'AUGYTD '!P23-'JULYYTD '!P23</f>
        <v>3009</v>
      </c>
      <c r="Q23" s="62" t="n">
        <f aca="false">+'AUGYTD '!Q23-'JULYYTD '!Q23</f>
        <v>211</v>
      </c>
      <c r="S23" s="62" t="n">
        <f aca="false">+'AUGYTD '!S23-'JULYYTD '!S23</f>
        <v>0</v>
      </c>
    </row>
    <row r="24" customFormat="false" ht="12.75" hidden="false" customHeight="true" outlineLevel="4" collapsed="false">
      <c r="A24" s="57" t="s">
        <v>60</v>
      </c>
      <c r="B24" s="58" t="n">
        <f aca="false">D24+S24</f>
        <v>19</v>
      </c>
      <c r="C24" s="58"/>
      <c r="D24" s="62" t="n">
        <f aca="false">SUM(E24:M24)+O24+P24+Q24</f>
        <v>19</v>
      </c>
      <c r="E24" s="62" t="n">
        <f aca="false">+'AUGYTD '!E24-'JULYYTD '!E24</f>
        <v>14</v>
      </c>
      <c r="F24" s="62" t="n">
        <f aca="false">+'AUGYTD '!F24-'JULYYTD '!F24</f>
        <v>3</v>
      </c>
      <c r="G24" s="62" t="n">
        <f aca="false">+'AUGYTD '!G24-'JULYYTD '!G24</f>
        <v>0</v>
      </c>
      <c r="H24" s="62" t="n">
        <f aca="false">+'AUGYTD '!H24-'JULYYTD '!H24</f>
        <v>0</v>
      </c>
      <c r="I24" s="62" t="n">
        <f aca="false">+'AUGYTD '!I24-'JULYYTD '!I24</f>
        <v>2</v>
      </c>
      <c r="J24" s="62" t="n">
        <f aca="false">+'AUGYTD '!J24-'JULYYTD '!J24</f>
        <v>0</v>
      </c>
      <c r="K24" s="62" t="n">
        <f aca="false">+'AUGYTD '!K24-'JULYYTD '!K24</f>
        <v>0</v>
      </c>
      <c r="L24" s="62" t="n">
        <f aca="false">+'AUGYTD '!L24-'JULYYTD '!L24</f>
        <v>0</v>
      </c>
      <c r="M24" s="62" t="n">
        <f aca="false">+'AUGYTD '!M24-'JULYYTD '!M24</f>
        <v>0</v>
      </c>
      <c r="N24" s="62" t="n">
        <f aca="false">M24+L24</f>
        <v>0</v>
      </c>
      <c r="O24" s="62" t="n">
        <f aca="false">+'AUGYTD '!O24-'JULYYTD '!O24</f>
        <v>0</v>
      </c>
      <c r="P24" s="62" t="n">
        <f aca="false">+'AUGYTD '!P24-'JULYYTD '!P24</f>
        <v>0</v>
      </c>
      <c r="Q24" s="62" t="n">
        <f aca="false">+'AUGYTD '!Q24-'JULYYTD '!Q24</f>
        <v>0</v>
      </c>
      <c r="S24" s="62" t="n">
        <f aca="false">+'AUGYTD '!S24-'JULYYTD '!S24</f>
        <v>0</v>
      </c>
    </row>
    <row r="25" customFormat="false" ht="12.75" hidden="false" customHeight="true" outlineLevel="4" collapsed="false">
      <c r="A25" s="57" t="s">
        <v>61</v>
      </c>
      <c r="B25" s="58" t="n">
        <f aca="false">D25+S25</f>
        <v>1</v>
      </c>
      <c r="C25" s="58"/>
      <c r="D25" s="62" t="n">
        <f aca="false">SUM(E25:M25)+O25+P25+Q25</f>
        <v>1</v>
      </c>
      <c r="E25" s="62" t="n">
        <f aca="false">+'AUGYTD '!E25-'JULYYTD '!E25</f>
        <v>0</v>
      </c>
      <c r="F25" s="62" t="n">
        <f aca="false">+'AUGYTD '!F25-'JULYYTD '!F25</f>
        <v>1</v>
      </c>
      <c r="G25" s="62" t="n">
        <f aca="false">+'AUGYTD '!G25-'JULYYTD '!G25</f>
        <v>0</v>
      </c>
      <c r="H25" s="62" t="n">
        <f aca="false">+'AUGYTD '!H25-'JULYYTD '!H25</f>
        <v>0</v>
      </c>
      <c r="I25" s="62" t="n">
        <f aca="false">+'AUGYTD '!I25-'JULYYTD '!I25</f>
        <v>0</v>
      </c>
      <c r="J25" s="62" t="n">
        <f aca="false">+'AUGYTD '!J25-'JULYYTD '!J25</f>
        <v>0</v>
      </c>
      <c r="K25" s="62" t="n">
        <f aca="false">+'AUGYTD '!K25-'JULYYTD '!K25</f>
        <v>0</v>
      </c>
      <c r="L25" s="62" t="n">
        <f aca="false">+'AUGYTD '!L25-'JULYYTD '!L25</f>
        <v>0</v>
      </c>
      <c r="M25" s="62" t="n">
        <f aca="false">+'AUGYTD '!M25-'JULYYTD '!M25</f>
        <v>0</v>
      </c>
      <c r="N25" s="62" t="n">
        <f aca="false">M25+L25</f>
        <v>0</v>
      </c>
      <c r="O25" s="62" t="n">
        <f aca="false">+'AUGYTD '!O25-'JULYYTD '!O25</f>
        <v>0</v>
      </c>
      <c r="P25" s="62" t="n">
        <f aca="false">+'AUGYTD '!P25-'JULYYTD '!P25</f>
        <v>0</v>
      </c>
      <c r="Q25" s="62" t="n">
        <f aca="false">+'AUGYTD '!Q25-'JULYYTD '!Q25</f>
        <v>0</v>
      </c>
      <c r="S25" s="62" t="n">
        <f aca="false">+'AUGYTD '!S25-'JULYYTD '!S25</f>
        <v>0</v>
      </c>
    </row>
    <row r="26" customFormat="false" ht="12.75" hidden="false" customHeight="true" outlineLevel="4" collapsed="false">
      <c r="A26" s="57" t="s">
        <v>62</v>
      </c>
      <c r="B26" s="58" t="n">
        <f aca="false">D26+S26</f>
        <v>-17420</v>
      </c>
      <c r="C26" s="58"/>
      <c r="D26" s="62" t="n">
        <f aca="false">SUM(E26:M26)+O26+P26+Q26</f>
        <v>-17411</v>
      </c>
      <c r="E26" s="62" t="n">
        <f aca="false">+'AUGYTD '!E26-'JULYYTD '!E26</f>
        <v>-14829</v>
      </c>
      <c r="F26" s="62" t="n">
        <f aca="false">+'AUGYTD '!F26-'JULYYTD '!F26</f>
        <v>-344</v>
      </c>
      <c r="G26" s="62" t="n">
        <f aca="false">+'AUGYTD '!G26-'JULYYTD '!G26</f>
        <v>0</v>
      </c>
      <c r="H26" s="62" t="n">
        <f aca="false">+'AUGYTD '!H26-'JULYYTD '!H26</f>
        <v>-252</v>
      </c>
      <c r="I26" s="62" t="n">
        <f aca="false">+'AUGYTD '!I26-'JULYYTD '!I26</f>
        <v>0</v>
      </c>
      <c r="J26" s="62" t="n">
        <f aca="false">+'AUGYTD '!J26-'JULYYTD '!J26</f>
        <v>0</v>
      </c>
      <c r="K26" s="62" t="n">
        <f aca="false">+'AUGYTD '!K26-'JULYYTD '!K26</f>
        <v>-11</v>
      </c>
      <c r="L26" s="62" t="n">
        <f aca="false">+'AUGYTD '!L26-'JULYYTD '!L26</f>
        <v>0</v>
      </c>
      <c r="M26" s="62" t="n">
        <f aca="false">+'AUGYTD '!M26-'JULYYTD '!M26</f>
        <v>0</v>
      </c>
      <c r="N26" s="62" t="n">
        <f aca="false">M26+L26</f>
        <v>0</v>
      </c>
      <c r="O26" s="62" t="n">
        <f aca="false">+'AUGYTD '!O26-'JULYYTD '!O26</f>
        <v>-538</v>
      </c>
      <c r="P26" s="62" t="n">
        <f aca="false">+'AUGYTD '!P26-'JULYYTD '!P26</f>
        <v>-1425</v>
      </c>
      <c r="Q26" s="62" t="n">
        <f aca="false">+'AUGYTD '!Q26-'JULYYTD '!Q26</f>
        <v>-12</v>
      </c>
      <c r="S26" s="62" t="n">
        <f aca="false">+'AUGYTD '!S26-'JULYYTD '!S26</f>
        <v>-9</v>
      </c>
    </row>
    <row r="27" customFormat="false" ht="12.75" hidden="false" customHeight="true" outlineLevel="4" collapsed="false">
      <c r="A27" s="57" t="s">
        <v>104</v>
      </c>
      <c r="B27" s="58" t="n">
        <f aca="false">D27+S27</f>
        <v>-4235</v>
      </c>
      <c r="C27" s="58"/>
      <c r="D27" s="62" t="n">
        <f aca="false">SUM(E27:M27)+O27+P27+Q27</f>
        <v>-4235</v>
      </c>
      <c r="E27" s="62" t="n">
        <f aca="false">+'AUGYTD '!E27-'JULYYTD '!E27</f>
        <v>-3981</v>
      </c>
      <c r="F27" s="62" t="n">
        <f aca="false">+'AUGYTD '!F27-'JULYYTD '!F27</f>
        <v>-254</v>
      </c>
      <c r="G27" s="62" t="n">
        <f aca="false">+'AUGYTD '!G27-'JULYYTD '!G27</f>
        <v>0</v>
      </c>
      <c r="H27" s="62" t="n">
        <f aca="false">+'AUGYTD '!H27-'JULYYTD '!H27</f>
        <v>0</v>
      </c>
      <c r="I27" s="62" t="n">
        <f aca="false">+'AUGYTD '!I27-'JULYYTD '!I27</f>
        <v>0</v>
      </c>
      <c r="J27" s="62" t="n">
        <f aca="false">+'AUGYTD '!J27-'JULYYTD '!J27</f>
        <v>0</v>
      </c>
      <c r="K27" s="62" t="n">
        <f aca="false">+'AUGYTD '!K27-'JULYYTD '!K27</f>
        <v>0</v>
      </c>
      <c r="L27" s="62" t="n">
        <f aca="false">+'AUGYTD '!L27-'JULYYTD '!L27</f>
        <v>0</v>
      </c>
      <c r="M27" s="62" t="n">
        <f aca="false">+'AUGYTD '!M27-'JULYYTD '!M27</f>
        <v>0</v>
      </c>
      <c r="N27" s="62" t="n">
        <f aca="false">M27+L27</f>
        <v>0</v>
      </c>
      <c r="O27" s="62" t="n">
        <f aca="false">+'AUGYTD '!O27-'JULYYTD '!O27</f>
        <v>0</v>
      </c>
      <c r="P27" s="62" t="n">
        <f aca="false">+'AUGYTD '!P27-'JULYYTD '!P27</f>
        <v>0</v>
      </c>
      <c r="Q27" s="62" t="n">
        <f aca="false">+'AUGYTD '!Q27-'JULYYTD '!Q27</f>
        <v>0</v>
      </c>
      <c r="S27" s="62" t="n">
        <f aca="false">+'AUGYTD '!S27-'JULYYTD '!S27</f>
        <v>0</v>
      </c>
    </row>
    <row r="28" customFormat="false" ht="12.75" hidden="false" customHeight="true" outlineLevel="4" collapsed="false">
      <c r="A28" s="57" t="s">
        <v>64</v>
      </c>
      <c r="B28" s="58" t="n">
        <f aca="false">D28+S28</f>
        <v>2972</v>
      </c>
      <c r="C28" s="58"/>
      <c r="D28" s="62" t="n">
        <f aca="false">SUM(E28:M28)+O28+P28+Q28</f>
        <v>2960</v>
      </c>
      <c r="E28" s="62" t="n">
        <f aca="false">+'AUGYTD '!E28-'JULYYTD '!E28</f>
        <v>2213</v>
      </c>
      <c r="F28" s="62" t="n">
        <f aca="false">+'AUGYTD '!F28-'JULYYTD '!F28</f>
        <v>691</v>
      </c>
      <c r="G28" s="62" t="n">
        <f aca="false">+'AUGYTD '!G28-'JULYYTD '!G28</f>
        <v>0</v>
      </c>
      <c r="H28" s="62" t="n">
        <f aca="false">+'AUGYTD '!H28-'JULYYTD '!H28</f>
        <v>-1</v>
      </c>
      <c r="I28" s="62" t="n">
        <f aca="false">+'AUGYTD '!I28-'JULYYTD '!I28</f>
        <v>0</v>
      </c>
      <c r="J28" s="62" t="n">
        <f aca="false">+'AUGYTD '!J28-'JULYYTD '!J28</f>
        <v>0</v>
      </c>
      <c r="K28" s="62" t="n">
        <f aca="false">+'AUGYTD '!K28-'JULYYTD '!K28</f>
        <v>0</v>
      </c>
      <c r="L28" s="62" t="n">
        <f aca="false">+'AUGYTD '!L28-'JULYYTD '!L28</f>
        <v>0</v>
      </c>
      <c r="M28" s="62" t="n">
        <f aca="false">+'AUGYTD '!M28-'JULYYTD '!M28</f>
        <v>0</v>
      </c>
      <c r="N28" s="62" t="n">
        <f aca="false">M28+L28</f>
        <v>0</v>
      </c>
      <c r="O28" s="62" t="n">
        <f aca="false">+'AUGYTD '!O28-'JULYYTD '!O28</f>
        <v>56</v>
      </c>
      <c r="P28" s="62" t="n">
        <f aca="false">+'AUGYTD '!P28-'JULYYTD '!P28</f>
        <v>0</v>
      </c>
      <c r="Q28" s="62" t="n">
        <f aca="false">+'AUGYTD '!Q28-'JULYYTD '!Q28</f>
        <v>1</v>
      </c>
      <c r="S28" s="62" t="n">
        <f aca="false">+'AUGYTD '!S28-'JULYYTD '!S28</f>
        <v>12</v>
      </c>
    </row>
    <row r="29" customFormat="false" ht="12.75" hidden="false" customHeight="true" outlineLevel="4" collapsed="false">
      <c r="A29" s="57" t="s">
        <v>65</v>
      </c>
      <c r="B29" s="58" t="n">
        <f aca="false">D29+S29</f>
        <v>3948</v>
      </c>
      <c r="C29" s="58"/>
      <c r="D29" s="62" t="n">
        <f aca="false">SUM(E29:M29)+O29+P29+Q29</f>
        <v>3948</v>
      </c>
      <c r="E29" s="62" t="n">
        <f aca="false">+'AUGYTD '!E29-'JULYYTD '!E29</f>
        <v>2875</v>
      </c>
      <c r="F29" s="62" t="n">
        <f aca="false">+'AUGYTD '!F29-'JULYYTD '!F29</f>
        <v>1073</v>
      </c>
      <c r="G29" s="62" t="n">
        <f aca="false">+'AUGYTD '!G29-'JULYYTD '!G29</f>
        <v>0</v>
      </c>
      <c r="H29" s="62" t="n">
        <f aca="false">+'AUGYTD '!H29-'JULYYTD '!H29</f>
        <v>0</v>
      </c>
      <c r="I29" s="62" t="n">
        <f aca="false">+'AUGYTD '!I29-'JULYYTD '!I29</f>
        <v>0</v>
      </c>
      <c r="J29" s="62" t="n">
        <f aca="false">+'AUGYTD '!J29-'JULYYTD '!J29</f>
        <v>0</v>
      </c>
      <c r="K29" s="62" t="n">
        <f aca="false">+'AUGYTD '!K29-'JULYYTD '!K29</f>
        <v>0</v>
      </c>
      <c r="L29" s="62" t="n">
        <f aca="false">+'AUGYTD '!L29-'JULYYTD '!L29</f>
        <v>0</v>
      </c>
      <c r="M29" s="62" t="n">
        <f aca="false">+'AUGYTD '!M29-'JULYYTD '!M29</f>
        <v>0</v>
      </c>
      <c r="N29" s="62" t="n">
        <f aca="false">M29+L29</f>
        <v>0</v>
      </c>
      <c r="O29" s="62" t="n">
        <f aca="false">+'AUGYTD '!O29-'JULYYTD '!O29</f>
        <v>0</v>
      </c>
      <c r="P29" s="62" t="n">
        <f aca="false">+'AUGYTD '!P29-'JULYYTD '!P29</f>
        <v>0</v>
      </c>
      <c r="Q29" s="62" t="n">
        <f aca="false">+'AUGYTD '!Q29-'JULYYTD '!Q29</f>
        <v>0</v>
      </c>
      <c r="S29" s="62" t="n">
        <f aca="false">+'AUGYTD '!S29-'JULYYTD '!S29</f>
        <v>0</v>
      </c>
    </row>
    <row r="30" customFormat="false" ht="12.75" hidden="false" customHeight="true" outlineLevel="4" collapsed="false">
      <c r="A30" s="57" t="s">
        <v>66</v>
      </c>
      <c r="B30" s="63" t="n">
        <f aca="false">D30+S30</f>
        <v>-1008</v>
      </c>
      <c r="C30" s="58"/>
      <c r="D30" s="62" t="n">
        <f aca="false">SUM(E30:M30)+O30+P30+Q30</f>
        <v>-1008</v>
      </c>
      <c r="E30" s="62" t="n">
        <f aca="false">+'AUGYTD '!E30-'JULYYTD '!E30</f>
        <v>-1733</v>
      </c>
      <c r="F30" s="62" t="n">
        <f aca="false">+'AUGYTD '!F30-'JULYYTD '!F30</f>
        <v>113</v>
      </c>
      <c r="G30" s="62" t="n">
        <f aca="false">+'AUGYTD '!G30-'JULYYTD '!G30</f>
        <v>0</v>
      </c>
      <c r="H30" s="62" t="n">
        <f aca="false">+'AUGYTD '!H30-'JULYYTD '!H30</f>
        <v>426</v>
      </c>
      <c r="I30" s="62" t="n">
        <f aca="false">+'AUGYTD '!I30-'JULYYTD '!I30</f>
        <v>0</v>
      </c>
      <c r="J30" s="62" t="n">
        <f aca="false">+'AUGYTD '!J30-'JULYYTD '!J30</f>
        <v>0</v>
      </c>
      <c r="K30" s="62" t="n">
        <f aca="false">+'AUGYTD '!K30-'JULYYTD '!K30</f>
        <v>0</v>
      </c>
      <c r="L30" s="62" t="n">
        <f aca="false">+'AUGYTD '!L30-'JULYYTD '!L30</f>
        <v>0</v>
      </c>
      <c r="M30" s="62" t="n">
        <f aca="false">+'AUGYTD '!M30-'JULYYTD '!M30</f>
        <v>0</v>
      </c>
      <c r="N30" s="62" t="n">
        <f aca="false">M30+L30</f>
        <v>0</v>
      </c>
      <c r="O30" s="62" t="n">
        <f aca="false">+'AUGYTD '!O30-'JULYYTD '!O30</f>
        <v>186</v>
      </c>
      <c r="P30" s="62" t="n">
        <f aca="false">+'AUGYTD '!P30-'JULYYTD '!P30</f>
        <v>0</v>
      </c>
      <c r="Q30" s="62" t="n">
        <f aca="false">+'AUGYTD '!Q30-'JULYYTD '!Q30</f>
        <v>0</v>
      </c>
      <c r="S30" s="62" t="n">
        <f aca="false">+'AUGYTD '!S30-'JULYYTD '!S30</f>
        <v>0</v>
      </c>
    </row>
    <row r="31" customFormat="false" ht="12.75" hidden="false" customHeight="true" outlineLevel="4" collapsed="false">
      <c r="A31" s="57" t="s">
        <v>67</v>
      </c>
      <c r="B31" s="67" t="n">
        <f aca="false">SUM(B21:B30)</f>
        <v>-23332</v>
      </c>
      <c r="C31" s="68"/>
      <c r="D31" s="67" t="n">
        <f aca="false">SUM(D21:D30)</f>
        <v>-23272</v>
      </c>
      <c r="E31" s="67" t="n">
        <f aca="false">SUM(E21:E30)</f>
        <v>-10319</v>
      </c>
      <c r="F31" s="67" t="n">
        <f aca="false">SUM(F21:F30)</f>
        <v>-6795</v>
      </c>
      <c r="G31" s="67" t="n">
        <f aca="false">SUM(G21:G30)</f>
        <v>0</v>
      </c>
      <c r="H31" s="67" t="n">
        <f aca="false">SUM(H21:H30)</f>
        <v>-1245</v>
      </c>
      <c r="I31" s="67" t="n">
        <f aca="false">SUM(I21:I30)</f>
        <v>18</v>
      </c>
      <c r="J31" s="67" t="n">
        <f aca="false">SUM(J21:J30)</f>
        <v>0</v>
      </c>
      <c r="K31" s="67" t="n">
        <f aca="false">SUM(K21:K30)</f>
        <v>-88</v>
      </c>
      <c r="L31" s="67" t="n">
        <f aca="false">SUM(L21:L30)</f>
        <v>0</v>
      </c>
      <c r="M31" s="67" t="n">
        <f aca="false">SUM(M21:M30)</f>
        <v>0</v>
      </c>
      <c r="N31" s="67" t="n">
        <f aca="false">SUM(N21:N30)</f>
        <v>0</v>
      </c>
      <c r="O31" s="67" t="n">
        <f aca="false">SUM(O21:O30)</f>
        <v>-6800</v>
      </c>
      <c r="P31" s="67" t="n">
        <f aca="false">SUM(P21:P30)</f>
        <v>1584</v>
      </c>
      <c r="Q31" s="67" t="n">
        <f aca="false">SUM(Q21:Q30)</f>
        <v>373</v>
      </c>
      <c r="S31" s="67" t="n">
        <f aca="false">SUM(S21:S30)</f>
        <v>-60</v>
      </c>
    </row>
    <row r="32" customFormat="false" ht="12.75" hidden="false" customHeight="true" outlineLevel="4" collapsed="false">
      <c r="A32" s="57"/>
      <c r="B32" s="69"/>
      <c r="C32" s="68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42"/>
      <c r="S32" s="69"/>
    </row>
    <row r="33" customFormat="false" ht="12.75" hidden="false" customHeight="true" outlineLevel="3" collapsed="false">
      <c r="A33" s="57" t="s">
        <v>68</v>
      </c>
      <c r="B33" s="70" t="n">
        <f aca="false">B19+B31</f>
        <v>-6755.21300000003</v>
      </c>
      <c r="C33" s="58"/>
      <c r="D33" s="70" t="n">
        <f aca="false">D19+D31</f>
        <v>-6522.22700000003</v>
      </c>
      <c r="E33" s="70" t="n">
        <f aca="false">E19+E31</f>
        <v>-5396.90500000002</v>
      </c>
      <c r="F33" s="70" t="n">
        <f aca="false">F19+F31</f>
        <v>599.470999999992</v>
      </c>
      <c r="G33" s="70" t="n">
        <f aca="false">G19+G31</f>
        <v>0</v>
      </c>
      <c r="H33" s="70" t="n">
        <f aca="false">H19+H31</f>
        <v>-506.065000000001</v>
      </c>
      <c r="I33" s="70" t="n">
        <f aca="false">I19+I31</f>
        <v>0.966999999999999</v>
      </c>
      <c r="J33" s="70" t="n">
        <f aca="false">J19+J31</f>
        <v>71.8559999999999</v>
      </c>
      <c r="K33" s="70" t="n">
        <f aca="false">K19+K31</f>
        <v>-63.165</v>
      </c>
      <c r="L33" s="70" t="n">
        <f aca="false">L19+L31</f>
        <v>0</v>
      </c>
      <c r="M33" s="70" t="n">
        <f aca="false">M19+M31</f>
        <v>0</v>
      </c>
      <c r="N33" s="70" t="n">
        <f aca="false">N19+N31</f>
        <v>0</v>
      </c>
      <c r="O33" s="70" t="n">
        <f aca="false">O19+O31</f>
        <v>-3021.271</v>
      </c>
      <c r="P33" s="70" t="n">
        <f aca="false">P19+P31</f>
        <v>1773.848</v>
      </c>
      <c r="Q33" s="70" t="n">
        <f aca="false">Q19+Q31</f>
        <v>19.037</v>
      </c>
      <c r="S33" s="70" t="n">
        <f aca="false">S19+S31</f>
        <v>-232.985999999999</v>
      </c>
    </row>
    <row r="34" customFormat="false" ht="12.75" hidden="false" customHeight="true" outlineLevel="3" collapsed="false">
      <c r="B34" s="58"/>
      <c r="C34" s="58"/>
    </row>
    <row r="35" customFormat="false" ht="12.75" hidden="false" customHeight="true" outlineLevel="3" collapsed="false">
      <c r="A35" s="61" t="s">
        <v>69</v>
      </c>
      <c r="B35" s="58"/>
      <c r="C35" s="58"/>
    </row>
    <row r="36" customFormat="false" ht="12.75" hidden="false" customHeight="true" outlineLevel="4" collapsed="false">
      <c r="A36" s="57" t="s">
        <v>70</v>
      </c>
      <c r="B36" s="58" t="n">
        <f aca="false">D36+S36</f>
        <v>185</v>
      </c>
      <c r="C36" s="58"/>
      <c r="D36" s="62" t="n">
        <f aca="false">SUM(E36:M36)+O36+P36+Q36</f>
        <v>185</v>
      </c>
      <c r="E36" s="62" t="n">
        <f aca="false">+'AUGYTD '!E36-'JULYYTD '!E36</f>
        <v>68</v>
      </c>
      <c r="F36" s="62" t="n">
        <f aca="false">+'AUGYTD '!F36-'JULYYTD '!F36</f>
        <v>117</v>
      </c>
      <c r="G36" s="62" t="n">
        <f aca="false">+'AUGYTD '!G36-'JULYYTD '!G36</f>
        <v>0</v>
      </c>
      <c r="H36" s="62" t="n">
        <f aca="false">+'AUGYTD '!H36-'JULYYTD '!H36</f>
        <v>0</v>
      </c>
      <c r="I36" s="62" t="n">
        <f aca="false">+'AUGYTD '!I36-'JULYYTD '!I36</f>
        <v>0</v>
      </c>
      <c r="J36" s="62" t="n">
        <f aca="false">+'AUGYTD '!J36-'JULYYTD '!J36</f>
        <v>0</v>
      </c>
      <c r="K36" s="62" t="n">
        <f aca="false">+'AUGYTD '!K36-'JULYYTD '!K36</f>
        <v>0</v>
      </c>
      <c r="L36" s="62" t="n">
        <f aca="false">+'AUGYTD '!L36-'JULYYTD '!L36</f>
        <v>0</v>
      </c>
      <c r="M36" s="62" t="n">
        <f aca="false">+'AUGYTD '!M36-'JULYYTD '!M36</f>
        <v>0</v>
      </c>
      <c r="N36" s="62" t="n">
        <f aca="false">M36+L36</f>
        <v>0</v>
      </c>
      <c r="O36" s="62" t="n">
        <f aca="false">+'AUGYTD '!O36-'JULYYTD '!O36</f>
        <v>0</v>
      </c>
      <c r="P36" s="62" t="n">
        <f aca="false">+'AUGYTD '!P36-'JULYYTD '!P36</f>
        <v>0</v>
      </c>
      <c r="Q36" s="62" t="n">
        <f aca="false">+'AUGYTD '!Q36-'JULYYTD '!Q36</f>
        <v>0</v>
      </c>
      <c r="S36" s="62" t="n">
        <f aca="false">+'AUGYTD '!S36-'JULYYTD '!S36</f>
        <v>0</v>
      </c>
    </row>
    <row r="37" customFormat="false" ht="12.75" hidden="false" customHeight="true" outlineLevel="4" collapsed="false">
      <c r="A37" s="57" t="s">
        <v>71</v>
      </c>
      <c r="B37" s="58" t="n">
        <f aca="false">D37+S37</f>
        <v>-10422</v>
      </c>
      <c r="C37" s="58"/>
      <c r="D37" s="62" t="n">
        <f aca="false">SUM(E37:M37)+O37+P37+Q37</f>
        <v>-10422</v>
      </c>
      <c r="E37" s="62" t="n">
        <f aca="false">+'AUGYTD '!E37-'JULYYTD '!E37</f>
        <v>-7353</v>
      </c>
      <c r="F37" s="62" t="n">
        <f aca="false">+'AUGYTD '!F37-'JULYYTD '!F37</f>
        <v>-3069</v>
      </c>
      <c r="G37" s="62" t="n">
        <f aca="false">+'AUGYTD '!G37-'JULYYTD '!G37</f>
        <v>0</v>
      </c>
      <c r="H37" s="62" t="n">
        <f aca="false">+'AUGYTD '!H37-'JULYYTD '!H37</f>
        <v>0</v>
      </c>
      <c r="I37" s="62" t="n">
        <f aca="false">+'AUGYTD '!I37-'JULYYTD '!I37</f>
        <v>0</v>
      </c>
      <c r="J37" s="62" t="n">
        <f aca="false">+'AUGYTD '!J37-'JULYYTD '!J37</f>
        <v>0</v>
      </c>
      <c r="K37" s="62" t="n">
        <f aca="false">+'AUGYTD '!K37-'JULYYTD '!K37</f>
        <v>0</v>
      </c>
      <c r="L37" s="62" t="n">
        <f aca="false">+'AUGYTD '!L37-'JULYYTD '!L37</f>
        <v>0</v>
      </c>
      <c r="M37" s="62" t="n">
        <f aca="false">+'AUGYTD '!M37-'JULYYTD '!M37</f>
        <v>0</v>
      </c>
      <c r="N37" s="62" t="n">
        <f aca="false">M37+L37</f>
        <v>0</v>
      </c>
      <c r="O37" s="62" t="n">
        <f aca="false">+'AUGYTD '!O37-'JULYYTD '!O37</f>
        <v>0</v>
      </c>
      <c r="P37" s="62" t="n">
        <f aca="false">+'AUGYTD '!P37-'JULYYTD '!P37</f>
        <v>0</v>
      </c>
      <c r="Q37" s="62" t="n">
        <f aca="false">+'AUGYTD '!Q37-'JULYYTD '!Q37</f>
        <v>0</v>
      </c>
      <c r="S37" s="62" t="n">
        <f aca="false">+'AUGYTD '!S37-'JULYYTD '!S37</f>
        <v>0</v>
      </c>
    </row>
    <row r="38" customFormat="false" ht="12.75" hidden="false" customHeight="true" outlineLevel="4" collapsed="false">
      <c r="A38" s="57" t="s">
        <v>105</v>
      </c>
      <c r="B38" s="58" t="n">
        <f aca="false">D38+S38</f>
        <v>9226</v>
      </c>
      <c r="C38" s="58"/>
      <c r="D38" s="62" t="n">
        <f aca="false">SUM(E38:M38)+O38+P38+Q38</f>
        <v>9226</v>
      </c>
      <c r="E38" s="62" t="n">
        <f aca="false">+'AUGYTD '!E38-'JULYYTD '!E38</f>
        <v>9189</v>
      </c>
      <c r="F38" s="62" t="n">
        <f aca="false">+'AUGYTD '!F38-'JULYYTD '!F38</f>
        <v>37</v>
      </c>
      <c r="G38" s="62" t="n">
        <f aca="false">+'AUGYTD '!G38-'JULYYTD '!G38</f>
        <v>0</v>
      </c>
      <c r="H38" s="62" t="n">
        <f aca="false">+'AUGYTD '!H38-'JULYYTD '!H38</f>
        <v>0</v>
      </c>
      <c r="I38" s="62" t="n">
        <f aca="false">+'AUGYTD '!I38-'JULYYTD '!I38</f>
        <v>0</v>
      </c>
      <c r="J38" s="62" t="n">
        <f aca="false">+'AUGYTD '!J38-'JULYYTD '!J38</f>
        <v>0</v>
      </c>
      <c r="K38" s="62" t="n">
        <f aca="false">+'AUGYTD '!K38-'JULYYTD '!K38</f>
        <v>0</v>
      </c>
      <c r="L38" s="62" t="n">
        <f aca="false">+'AUGYTD '!L38-'JULYYTD '!L38</f>
        <v>0</v>
      </c>
      <c r="M38" s="62" t="n">
        <f aca="false">+'AUGYTD '!M38-'JULYYTD '!M38</f>
        <v>0</v>
      </c>
      <c r="N38" s="62" t="n">
        <f aca="false">M38+L38</f>
        <v>0</v>
      </c>
      <c r="O38" s="62" t="n">
        <f aca="false">+'AUGYTD '!O38-'JULYYTD '!O38</f>
        <v>0</v>
      </c>
      <c r="P38" s="62" t="n">
        <f aca="false">+'AUGYTD '!P38-'JULYYTD '!P38</f>
        <v>0</v>
      </c>
      <c r="Q38" s="62" t="n">
        <f aca="false">+'AUGYTD '!Q38-'JULYYTD '!Q38</f>
        <v>0</v>
      </c>
      <c r="S38" s="62" t="n">
        <f aca="false">+'AUGYTD '!S38-'JULYYTD '!S38</f>
        <v>0</v>
      </c>
    </row>
    <row r="39" customFormat="false" ht="12.75" hidden="false" customHeight="true" outlineLevel="4" collapsed="false">
      <c r="A39" s="57" t="s">
        <v>106</v>
      </c>
      <c r="B39" s="58" t="n">
        <f aca="false">D39+S39</f>
        <v>0</v>
      </c>
      <c r="C39" s="58"/>
      <c r="D39" s="62" t="n">
        <f aca="false">SUM(E39:M39)+O39+P39+Q39</f>
        <v>0</v>
      </c>
      <c r="E39" s="62" t="n">
        <f aca="false">+'AUGYTD '!E39-'JULYYTD '!E39</f>
        <v>0</v>
      </c>
      <c r="F39" s="62" t="n">
        <f aca="false">+'AUGYTD '!F39-'JULYYTD '!F39</f>
        <v>0</v>
      </c>
      <c r="G39" s="62" t="n">
        <f aca="false">+'AUGYTD '!G39-'JULYYTD '!G39</f>
        <v>0</v>
      </c>
      <c r="H39" s="62" t="n">
        <f aca="false">+'AUGYTD '!H39-'JULYYTD '!H39</f>
        <v>0</v>
      </c>
      <c r="I39" s="62" t="n">
        <f aca="false">+'AUGYTD '!I39-'JULYYTD '!I39</f>
        <v>0</v>
      </c>
      <c r="J39" s="62" t="n">
        <f aca="false">+'AUGYTD '!J39-'JULYYTD '!J39</f>
        <v>0</v>
      </c>
      <c r="K39" s="62" t="n">
        <f aca="false">+'AUGYTD '!K39-'JULYYTD '!K39</f>
        <v>0</v>
      </c>
      <c r="L39" s="62" t="n">
        <f aca="false">+'AUGYTD '!L39-'JULYYTD '!L39</f>
        <v>0</v>
      </c>
      <c r="M39" s="62" t="n">
        <f aca="false">+'AUGYTD '!M39-'JULYYTD '!M39</f>
        <v>0</v>
      </c>
      <c r="N39" s="62" t="n">
        <f aca="false">M39+L39</f>
        <v>0</v>
      </c>
      <c r="O39" s="62" t="n">
        <f aca="false">+'AUGYTD '!O39-'JULYYTD '!O39</f>
        <v>0</v>
      </c>
      <c r="P39" s="62" t="n">
        <f aca="false">+'AUGYTD '!P39-'JULYYTD '!P39</f>
        <v>0</v>
      </c>
      <c r="Q39" s="62" t="n">
        <f aca="false">+'AUGYTD '!Q39-'JULYYTD '!Q39</f>
        <v>0</v>
      </c>
      <c r="S39" s="62" t="n">
        <f aca="false">+'AUGYTD '!S39-'JULYYTD '!S39</f>
        <v>0</v>
      </c>
    </row>
    <row r="40" customFormat="false" ht="12.75" hidden="false" customHeight="true" outlineLevel="4" collapsed="false">
      <c r="A40" s="57" t="s">
        <v>76</v>
      </c>
      <c r="B40" s="58" t="n">
        <f aca="false">D40+S40</f>
        <v>0</v>
      </c>
      <c r="C40" s="58"/>
      <c r="D40" s="62" t="n">
        <f aca="false">SUM(E40:M40)+O40+P40+Q40</f>
        <v>0</v>
      </c>
      <c r="E40" s="62" t="n">
        <f aca="false">+'AUGYTD '!E40-'JULYYTD '!E40</f>
        <v>0</v>
      </c>
      <c r="F40" s="62" t="n">
        <f aca="false">+'AUGYTD '!F40-'JULYYTD '!F40</f>
        <v>0</v>
      </c>
      <c r="G40" s="62" t="n">
        <f aca="false">+'AUGYTD '!G40-'JULYYTD '!G40</f>
        <v>0</v>
      </c>
      <c r="H40" s="62" t="n">
        <f aca="false">+'AUGYTD '!H40-'JULYYTD '!H40</f>
        <v>0</v>
      </c>
      <c r="I40" s="62" t="n">
        <f aca="false">+'AUGYTD '!I40-'JULYYTD '!I40</f>
        <v>0</v>
      </c>
      <c r="J40" s="62" t="n">
        <f aca="false">+'AUGYTD '!J40-'JULYYTD '!J40</f>
        <v>0</v>
      </c>
      <c r="K40" s="62" t="n">
        <f aca="false">+'AUGYTD '!K40-'JULYYTD '!K40</f>
        <v>0</v>
      </c>
      <c r="L40" s="62" t="n">
        <f aca="false">+'AUGYTD '!L40-'JULYYTD '!L40</f>
        <v>0</v>
      </c>
      <c r="M40" s="62" t="n">
        <f aca="false">+'AUGYTD '!M40-'JULYYTD '!M40</f>
        <v>0</v>
      </c>
      <c r="N40" s="62" t="n">
        <f aca="false">M40+L40</f>
        <v>0</v>
      </c>
      <c r="O40" s="62" t="n">
        <f aca="false">+'AUGYTD '!O40-'JULYYTD '!O40</f>
        <v>0</v>
      </c>
      <c r="P40" s="62" t="n">
        <f aca="false">+'AUGYTD '!P40-'JULYYTD '!P40</f>
        <v>0</v>
      </c>
      <c r="Q40" s="62" t="n">
        <f aca="false">+'AUGYTD '!Q40-'JULYYTD '!Q40</f>
        <v>0</v>
      </c>
      <c r="S40" s="62" t="n">
        <f aca="false">+'AUGYTD '!S40-'JULYYTD '!S40</f>
        <v>0</v>
      </c>
    </row>
    <row r="41" customFormat="false" ht="12.75" hidden="false" customHeight="true" outlineLevel="4" collapsed="false">
      <c r="A41" s="57" t="s">
        <v>77</v>
      </c>
      <c r="B41" s="63" t="n">
        <f aca="false">D41+S41</f>
        <v>56</v>
      </c>
      <c r="C41" s="58"/>
      <c r="D41" s="64" t="n">
        <f aca="false">SUM(E41:M41)+O41+P41+Q41</f>
        <v>56</v>
      </c>
      <c r="E41" s="64" t="n">
        <f aca="false">+'AUGYTD '!E41-'JULYYTD '!E41</f>
        <v>56</v>
      </c>
      <c r="F41" s="64" t="n">
        <f aca="false">+'AUGYTD '!F41-'JULYYTD '!F41</f>
        <v>0</v>
      </c>
      <c r="G41" s="64" t="n">
        <f aca="false">+'AUGYTD '!G41-'JULYYTD '!G41</f>
        <v>0</v>
      </c>
      <c r="H41" s="64" t="n">
        <f aca="false">+'AUGYTD '!H41-'JULYYTD '!H41</f>
        <v>0</v>
      </c>
      <c r="I41" s="64" t="n">
        <f aca="false">+'AUGYTD '!I41-'JULYYTD '!I41</f>
        <v>0</v>
      </c>
      <c r="J41" s="64" t="n">
        <f aca="false">+'AUGYTD '!J41-'JULYYTD '!J41</f>
        <v>0</v>
      </c>
      <c r="K41" s="64" t="n">
        <f aca="false">+'AUGYTD '!K41-'JULYYTD '!K41</f>
        <v>0</v>
      </c>
      <c r="L41" s="64" t="n">
        <f aca="false">+'AUGYTD '!L41-'JULYYTD '!L41</f>
        <v>0</v>
      </c>
      <c r="M41" s="64" t="n">
        <f aca="false">+'AUGYTD '!M41-'JULYYTD '!M41</f>
        <v>0</v>
      </c>
      <c r="N41" s="64" t="n">
        <f aca="false">M41+L41</f>
        <v>0</v>
      </c>
      <c r="O41" s="64" t="n">
        <f aca="false">+'AUGYTD '!O41-'JULYYTD '!O41</f>
        <v>0</v>
      </c>
      <c r="P41" s="64" t="n">
        <f aca="false">+'AUGYTD '!P41-'JULYYTD '!P41</f>
        <v>0</v>
      </c>
      <c r="Q41" s="64" t="n">
        <f aca="false">+'AUGYTD '!Q41-'JULYYTD '!Q41</f>
        <v>0</v>
      </c>
      <c r="S41" s="64" t="n">
        <f aca="false">+'AUGYTD '!S41-'JULYYTD '!S41</f>
        <v>0</v>
      </c>
    </row>
    <row r="42" customFormat="false" ht="12.75" hidden="false" customHeight="true" outlineLevel="3" collapsed="false">
      <c r="A42" s="57" t="s">
        <v>78</v>
      </c>
      <c r="B42" s="70" t="n">
        <f aca="false">SUM(B36:B41)</f>
        <v>-955</v>
      </c>
      <c r="C42" s="71" t="n">
        <f aca="false">SUM(C36:C41)</f>
        <v>0</v>
      </c>
      <c r="D42" s="70" t="n">
        <f aca="false">SUM(D36:D41)</f>
        <v>-955</v>
      </c>
      <c r="E42" s="70" t="n">
        <f aca="false">SUM(E36:E41)</f>
        <v>1960</v>
      </c>
      <c r="F42" s="70" t="n">
        <f aca="false">SUM(F36:F41)</f>
        <v>-2915</v>
      </c>
      <c r="G42" s="70" t="n">
        <f aca="false">SUM(G36:G41)</f>
        <v>0</v>
      </c>
      <c r="H42" s="70" t="n">
        <f aca="false">SUM(H36:H41)</f>
        <v>0</v>
      </c>
      <c r="I42" s="70" t="n">
        <f aca="false">SUM(I36:I41)</f>
        <v>0</v>
      </c>
      <c r="J42" s="70" t="n">
        <f aca="false">SUM(J36:J41)</f>
        <v>0</v>
      </c>
      <c r="K42" s="70" t="n">
        <f aca="false">SUM(K36:K41)</f>
        <v>0</v>
      </c>
      <c r="L42" s="70" t="n">
        <f aca="false">SUM(L36:L41)</f>
        <v>0</v>
      </c>
      <c r="M42" s="70" t="n">
        <f aca="false">SUM(M36:M41)</f>
        <v>0</v>
      </c>
      <c r="N42" s="70" t="n">
        <f aca="false">SUM(N36:N41)</f>
        <v>0</v>
      </c>
      <c r="O42" s="70" t="n">
        <f aca="false">SUM(O36:O41)</f>
        <v>0</v>
      </c>
      <c r="P42" s="70" t="n">
        <f aca="false">SUM(P36:P41)</f>
        <v>0</v>
      </c>
      <c r="Q42" s="70" t="n">
        <f aca="false">SUM(Q36:Q41)</f>
        <v>0</v>
      </c>
      <c r="S42" s="70" t="n">
        <f aca="false">SUM(S36:S41)</f>
        <v>0</v>
      </c>
    </row>
    <row r="43" customFormat="false" ht="12.75" hidden="false" customHeight="true" outlineLevel="3" collapsed="false">
      <c r="B43" s="58"/>
      <c r="C43" s="58"/>
    </row>
    <row r="44" customFormat="false" ht="12.75" hidden="false" customHeight="true" outlineLevel="3" collapsed="false">
      <c r="A44" s="61" t="s">
        <v>79</v>
      </c>
      <c r="B44" s="58"/>
      <c r="C44" s="58"/>
    </row>
    <row r="45" customFormat="false" ht="12.75" hidden="false" customHeight="true" outlineLevel="4" collapsed="false">
      <c r="A45" s="57" t="s">
        <v>80</v>
      </c>
      <c r="B45" s="58" t="n">
        <f aca="false">D45+S45</f>
        <v>0</v>
      </c>
      <c r="C45" s="58"/>
      <c r="D45" s="62" t="n">
        <f aca="false">SUM(E45:Q45)</f>
        <v>0</v>
      </c>
      <c r="E45" s="62" t="n">
        <f aca="false">+'AUGYTD '!E45-'JULYYTD '!E45</f>
        <v>0</v>
      </c>
      <c r="F45" s="62" t="n">
        <f aca="false">+'AUGYTD '!F45-'JULYYTD '!F45</f>
        <v>0</v>
      </c>
      <c r="G45" s="62" t="n">
        <f aca="false">+'AUGYTD '!G45-'JULYYTD '!G45</f>
        <v>0</v>
      </c>
      <c r="H45" s="62" t="n">
        <f aca="false">+'AUGYTD '!H45-'JULYYTD '!H45</f>
        <v>0</v>
      </c>
      <c r="I45" s="62" t="n">
        <f aca="false">+'AUGYTD '!I45-'JULYYTD '!I45</f>
        <v>0</v>
      </c>
      <c r="J45" s="62" t="n">
        <f aca="false">+'AUGYTD '!J45-'JULYYTD '!J45</f>
        <v>0</v>
      </c>
      <c r="K45" s="62" t="n">
        <f aca="false">+'AUGYTD '!K45-'JULYYTD '!K45</f>
        <v>0</v>
      </c>
      <c r="L45" s="62" t="n">
        <f aca="false">+'AUGYTD '!L45-'JULYYTD '!L45</f>
        <v>0</v>
      </c>
      <c r="M45" s="62" t="n">
        <f aca="false">+'AUGYTD '!M45-'JULYYTD '!M45</f>
        <v>0</v>
      </c>
      <c r="N45" s="62" t="n">
        <f aca="false">M45+L45</f>
        <v>0</v>
      </c>
      <c r="O45" s="62" t="n">
        <f aca="false">+'AUGYTD '!O45-'JULYYTD '!O45</f>
        <v>0</v>
      </c>
      <c r="P45" s="62" t="n">
        <f aca="false">+'AUGYTD '!P45-'JULYYTD '!P45</f>
        <v>0</v>
      </c>
      <c r="Q45" s="62" t="n">
        <f aca="false">+'AUGYTD '!Q45-'JULYYTD '!Q45</f>
        <v>0</v>
      </c>
      <c r="S45" s="62" t="n">
        <f aca="false">+'AUGYTD '!S45-'JULYYTD '!S45</f>
        <v>0</v>
      </c>
    </row>
    <row r="46" customFormat="false" ht="12.75" hidden="false" customHeight="true" outlineLevel="4" collapsed="false">
      <c r="A46" s="57" t="s">
        <v>81</v>
      </c>
      <c r="B46" s="58" t="n">
        <f aca="false">D46+S46</f>
        <v>0</v>
      </c>
      <c r="C46" s="58"/>
      <c r="D46" s="62" t="n">
        <f aca="false">SUM(E46:M46)+O46+P46+Q46</f>
        <v>0</v>
      </c>
      <c r="E46" s="62" t="n">
        <f aca="false">+'AUGYTD '!E46-'JULYYTD '!E46</f>
        <v>0</v>
      </c>
      <c r="F46" s="62" t="n">
        <f aca="false">+'AUGYTD '!F46-'JULYYTD '!F46</f>
        <v>0</v>
      </c>
      <c r="G46" s="62" t="n">
        <f aca="false">+'AUGYTD '!G46-'JULYYTD '!G46</f>
        <v>0</v>
      </c>
      <c r="H46" s="62" t="n">
        <f aca="false">+'AUGYTD '!H46-'JULYYTD '!H46</f>
        <v>0</v>
      </c>
      <c r="I46" s="62" t="n">
        <f aca="false">+'AUGYTD '!I46-'JULYYTD '!I46</f>
        <v>0</v>
      </c>
      <c r="J46" s="62" t="n">
        <f aca="false">+'AUGYTD '!J46-'JULYYTD '!J46</f>
        <v>0</v>
      </c>
      <c r="K46" s="62" t="n">
        <f aca="false">+'AUGYTD '!K46-'JULYYTD '!K46</f>
        <v>0</v>
      </c>
      <c r="L46" s="62" t="n">
        <f aca="false">+'AUGYTD '!L46-'JULYYTD '!L46</f>
        <v>0</v>
      </c>
      <c r="M46" s="62" t="n">
        <f aca="false">+'AUGYTD '!M46-'JULYYTD '!M46</f>
        <v>0</v>
      </c>
      <c r="N46" s="62" t="n">
        <f aca="false">M46+L46</f>
        <v>0</v>
      </c>
      <c r="O46" s="62" t="n">
        <f aca="false">+'AUGYTD '!O46-'JULYYTD '!O46</f>
        <v>0</v>
      </c>
      <c r="P46" s="62" t="n">
        <f aca="false">+'AUGYTD '!P46-'JULYYTD '!P46</f>
        <v>0</v>
      </c>
      <c r="Q46" s="62" t="n">
        <f aca="false">+'AUGYTD '!Q46-'JULYYTD '!Q46</f>
        <v>0</v>
      </c>
      <c r="S46" s="62" t="n">
        <f aca="false">+'AUGYTD '!S46-'JULYYTD '!S46</f>
        <v>0</v>
      </c>
    </row>
    <row r="47" customFormat="false" ht="12.75" hidden="false" customHeight="true" outlineLevel="4" collapsed="false">
      <c r="A47" s="57" t="s">
        <v>83</v>
      </c>
      <c r="B47" s="58" t="n">
        <f aca="false">D47+S47</f>
        <v>0</v>
      </c>
      <c r="C47" s="58"/>
      <c r="D47" s="62" t="n">
        <f aca="false">SUM(E47:Q47)</f>
        <v>0</v>
      </c>
      <c r="E47" s="62" t="n">
        <f aca="false">+'AUGYTD '!E47-'JULYYTD '!E47</f>
        <v>0</v>
      </c>
      <c r="F47" s="62" t="n">
        <f aca="false">+'AUGYTD '!F47-'JULYYTD '!F47</f>
        <v>0</v>
      </c>
      <c r="G47" s="62" t="n">
        <f aca="false">+'AUGYTD '!G47-'JULYYTD '!G47</f>
        <v>0</v>
      </c>
      <c r="H47" s="62" t="n">
        <f aca="false">+'AUGYTD '!H47-'JULYYTD '!H47</f>
        <v>0</v>
      </c>
      <c r="I47" s="62" t="n">
        <f aca="false">+'AUGYTD '!I47-'JULYYTD '!I47</f>
        <v>0</v>
      </c>
      <c r="J47" s="62" t="n">
        <f aca="false">+'AUGYTD '!J47-'JULYYTD '!J47</f>
        <v>0</v>
      </c>
      <c r="K47" s="62" t="n">
        <f aca="false">+'AUGYTD '!K47-'JULYYTD '!K47</f>
        <v>0</v>
      </c>
      <c r="L47" s="62" t="n">
        <f aca="false">+'AUGYTD '!L47-'JULYYTD '!L47</f>
        <v>0</v>
      </c>
      <c r="M47" s="62" t="n">
        <f aca="false">+'AUGYTD '!M47-'JULYYTD '!M47</f>
        <v>0</v>
      </c>
      <c r="N47" s="62" t="n">
        <f aca="false">M47+L47</f>
        <v>0</v>
      </c>
      <c r="O47" s="62" t="n">
        <f aca="false">+'AUGYTD '!O47-'JULYYTD '!O47</f>
        <v>0</v>
      </c>
      <c r="P47" s="62" t="n">
        <f aca="false">+'AUGYTD '!P47-'JULYYTD '!P47</f>
        <v>0</v>
      </c>
      <c r="Q47" s="62" t="n">
        <f aca="false">+'AUGYTD '!Q47-'JULYYTD '!Q47</f>
        <v>0</v>
      </c>
      <c r="S47" s="62" t="n">
        <f aca="false">+'AUGYTD '!S47-'JULYYTD '!S47</f>
        <v>0</v>
      </c>
    </row>
    <row r="48" customFormat="false" ht="12.75" hidden="false" customHeight="true" outlineLevel="4" collapsed="false">
      <c r="A48" s="57" t="s">
        <v>84</v>
      </c>
      <c r="B48" s="58" t="n">
        <f aca="false">D48+S48</f>
        <v>-2533</v>
      </c>
      <c r="C48" s="58"/>
      <c r="D48" s="62" t="n">
        <f aca="false">SUM(E48:M48)+O48+P48+Q48</f>
        <v>0</v>
      </c>
      <c r="E48" s="62" t="n">
        <f aca="false">+'AUGYTD '!E48-'JULYYTD '!E48</f>
        <v>0</v>
      </c>
      <c r="F48" s="62" t="n">
        <f aca="false">+'AUGYTD '!F48-'JULYYTD '!F48</f>
        <v>0</v>
      </c>
      <c r="G48" s="62" t="n">
        <f aca="false">+'AUGYTD '!G48-'JULYYTD '!G48</f>
        <v>0</v>
      </c>
      <c r="H48" s="62" t="n">
        <f aca="false">+'AUGYTD '!H48-'JULYYTD '!H48</f>
        <v>0</v>
      </c>
      <c r="I48" s="62" t="n">
        <f aca="false">+'AUGYTD '!I48-'JULYYTD '!I48</f>
        <v>0</v>
      </c>
      <c r="J48" s="62" t="n">
        <f aca="false">+'AUGYTD '!J48-'JULYYTD '!J48</f>
        <v>0</v>
      </c>
      <c r="K48" s="62" t="n">
        <f aca="false">+'AUGYTD '!K48-'JULYYTD '!K48</f>
        <v>0</v>
      </c>
      <c r="L48" s="62" t="n">
        <f aca="false">+'AUGYTD '!L48-'JULYYTD '!L48</f>
        <v>0</v>
      </c>
      <c r="M48" s="62" t="n">
        <f aca="false">+'AUGYTD '!M48-'JULYYTD '!M48</f>
        <v>0</v>
      </c>
      <c r="N48" s="62" t="n">
        <f aca="false">M48+L48</f>
        <v>0</v>
      </c>
      <c r="O48" s="62" t="n">
        <f aca="false">+'AUGYTD '!O48-'JULYYTD '!O48</f>
        <v>0</v>
      </c>
      <c r="P48" s="62" t="n">
        <f aca="false">+'AUGYTD '!P48-'JULYYTD '!P48</f>
        <v>0</v>
      </c>
      <c r="Q48" s="62" t="n">
        <f aca="false">+'AUGYTD '!Q48-'JULYYTD '!Q48</f>
        <v>0</v>
      </c>
      <c r="S48" s="62" t="n">
        <f aca="false">+'AUGYTD '!S48-'JULYYTD '!S48</f>
        <v>-2533</v>
      </c>
    </row>
    <row r="49" customFormat="false" ht="12.75" hidden="false" customHeight="true" outlineLevel="4" collapsed="false">
      <c r="A49" s="57" t="s">
        <v>107</v>
      </c>
      <c r="B49" s="58" t="n">
        <f aca="false">D49+S49</f>
        <v>0</v>
      </c>
      <c r="C49" s="58"/>
      <c r="D49" s="62" t="n">
        <f aca="false">SUM(E49:Q49)</f>
        <v>0</v>
      </c>
      <c r="E49" s="62" t="n">
        <f aca="false">+'AUGYTD '!E49-'JULYYTD '!E49</f>
        <v>0</v>
      </c>
      <c r="F49" s="62" t="n">
        <f aca="false">+'AUGYTD '!F49-'JULYYTD '!F49</f>
        <v>0</v>
      </c>
      <c r="G49" s="62" t="n">
        <f aca="false">+'AUGYTD '!G49-'JULYYTD '!G49</f>
        <v>0</v>
      </c>
      <c r="H49" s="62" t="n">
        <f aca="false">+'AUGYTD '!H49-'JULYYTD '!H49</f>
        <v>0</v>
      </c>
      <c r="I49" s="62" t="n">
        <f aca="false">+'AUGYTD '!I49-'JULYYTD '!I49</f>
        <v>0</v>
      </c>
      <c r="J49" s="62" t="n">
        <f aca="false">+'AUGYTD '!J49-'JULYYTD '!J49</f>
        <v>0</v>
      </c>
      <c r="K49" s="62" t="n">
        <f aca="false">+'AUGYTD '!K49-'JULYYTD '!K49</f>
        <v>0</v>
      </c>
      <c r="L49" s="62" t="n">
        <f aca="false">+'AUGYTD '!L49-'JULYYTD '!L49</f>
        <v>0</v>
      </c>
      <c r="M49" s="62" t="n">
        <f aca="false">+'AUGYTD '!M49-'JULYYTD '!M49</f>
        <v>0</v>
      </c>
      <c r="N49" s="62" t="n">
        <f aca="false">M49+L49</f>
        <v>0</v>
      </c>
      <c r="O49" s="62" t="n">
        <f aca="false">+'AUGYTD '!O49-'JULYYTD '!O49</f>
        <v>0</v>
      </c>
      <c r="P49" s="62" t="n">
        <f aca="false">+'AUGYTD '!P49-'JULYYTD '!P49</f>
        <v>0</v>
      </c>
      <c r="Q49" s="62" t="n">
        <f aca="false">+'AUGYTD '!Q49-'JULYYTD '!Q49</f>
        <v>0</v>
      </c>
      <c r="S49" s="62" t="n">
        <f aca="false">+'AUGYTD '!S49-'JULYYTD '!S49</f>
        <v>0</v>
      </c>
    </row>
    <row r="50" customFormat="false" ht="12.75" hidden="false" customHeight="true" outlineLevel="3" collapsed="false">
      <c r="A50" s="57" t="s">
        <v>86</v>
      </c>
      <c r="B50" s="72" t="n">
        <f aca="false">SUM(B45:B49)</f>
        <v>-2533</v>
      </c>
      <c r="C50" s="58"/>
      <c r="D50" s="72" t="n">
        <f aca="false">SUM(D45:D49)</f>
        <v>0</v>
      </c>
      <c r="E50" s="72" t="n">
        <f aca="false">SUM(E45:E49)</f>
        <v>0</v>
      </c>
      <c r="F50" s="72" t="n">
        <f aca="false">SUM(F45:F49)</f>
        <v>0</v>
      </c>
      <c r="G50" s="72" t="n">
        <f aca="false">SUM(G45:G49)</f>
        <v>0</v>
      </c>
      <c r="H50" s="72" t="n">
        <f aca="false">SUM(H45:H49)</f>
        <v>0</v>
      </c>
      <c r="I50" s="72" t="n">
        <f aca="false">SUM(I45:I49)</f>
        <v>0</v>
      </c>
      <c r="J50" s="72" t="n">
        <f aca="false">SUM(J45:J49)</f>
        <v>0</v>
      </c>
      <c r="K50" s="72" t="n">
        <f aca="false">SUM(K45:K49)</f>
        <v>0</v>
      </c>
      <c r="L50" s="72" t="n">
        <f aca="false">SUM(L45:L49)</f>
        <v>0</v>
      </c>
      <c r="M50" s="72" t="n">
        <f aca="false">SUM(M45:M49)</f>
        <v>0</v>
      </c>
      <c r="N50" s="72" t="n">
        <f aca="false">SUM(N45:N49)</f>
        <v>0</v>
      </c>
      <c r="O50" s="72" t="n">
        <f aca="false">SUM(O45:O49)</f>
        <v>0</v>
      </c>
      <c r="P50" s="72" t="n">
        <f aca="false">SUM(P45:P49)</f>
        <v>0</v>
      </c>
      <c r="Q50" s="72" t="n">
        <f aca="false">SUM(Q45:Q49)</f>
        <v>0</v>
      </c>
      <c r="S50" s="72" t="n">
        <f aca="false">SUM(S45:S49)</f>
        <v>-2533</v>
      </c>
    </row>
    <row r="51" customFormat="false" ht="12.75" hidden="false" customHeight="true" outlineLevel="3" collapsed="false">
      <c r="A51" s="57"/>
      <c r="B51" s="71"/>
      <c r="C51" s="58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S51" s="71"/>
    </row>
    <row r="52" customFormat="false" ht="12.75" hidden="false" customHeight="true" outlineLevel="2" collapsed="false">
      <c r="A52" s="57" t="s">
        <v>87</v>
      </c>
      <c r="B52" s="71" t="n">
        <f aca="false">B33+B42+B50</f>
        <v>-10243.213</v>
      </c>
      <c r="C52" s="58"/>
      <c r="D52" s="71" t="n">
        <f aca="false">D33+D42+D50</f>
        <v>-7477.22700000003</v>
      </c>
      <c r="E52" s="71" t="n">
        <f aca="false">E33+E42+E50</f>
        <v>-3436.90500000002</v>
      </c>
      <c r="F52" s="71" t="n">
        <f aca="false">F33+F42+F50</f>
        <v>-2315.52900000001</v>
      </c>
      <c r="G52" s="71" t="n">
        <f aca="false">G33+G42+G50</f>
        <v>0</v>
      </c>
      <c r="H52" s="71" t="n">
        <f aca="false">H33+H42+H50</f>
        <v>-506.065000000001</v>
      </c>
      <c r="I52" s="71" t="n">
        <f aca="false">I33+I42+I50</f>
        <v>0.966999999999999</v>
      </c>
      <c r="J52" s="71" t="n">
        <f aca="false">J33+J42+J50</f>
        <v>71.8559999999999</v>
      </c>
      <c r="K52" s="71" t="n">
        <f aca="false">K33+K42+K50</f>
        <v>-63.165</v>
      </c>
      <c r="L52" s="71" t="n">
        <f aca="false">L33+L42+L50</f>
        <v>0</v>
      </c>
      <c r="M52" s="71" t="n">
        <f aca="false">M33+M42+M50</f>
        <v>0</v>
      </c>
      <c r="N52" s="71" t="n">
        <f aca="false">M52+L52</f>
        <v>0</v>
      </c>
      <c r="O52" s="71" t="n">
        <f aca="false">O33+O42+O50</f>
        <v>-3021.271</v>
      </c>
      <c r="P52" s="71" t="n">
        <f aca="false">P33+P42+P50</f>
        <v>1773.848</v>
      </c>
      <c r="Q52" s="71" t="n">
        <f aca="false">Q33+Q42+Q50</f>
        <v>19.037</v>
      </c>
      <c r="S52" s="71" t="n">
        <f aca="false">S33+S42+S50</f>
        <v>-2765.986</v>
      </c>
    </row>
    <row r="53" customFormat="false" ht="12.75" hidden="false" customHeight="true" outlineLevel="2" collapsed="false">
      <c r="A53" s="57"/>
      <c r="B53" s="71"/>
      <c r="C53" s="58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S53" s="71"/>
    </row>
    <row r="54" customFormat="false" ht="12.75" hidden="false" customHeight="true" outlineLevel="2" collapsed="false">
      <c r="A54" s="57" t="s">
        <v>88</v>
      </c>
      <c r="B54" s="63" t="n">
        <f aca="false">D54+S54</f>
        <v>-87</v>
      </c>
      <c r="C54" s="58"/>
      <c r="D54" s="64" t="n">
        <f aca="false">SUM(E54:M54)+O54+P54+Q54</f>
        <v>-83</v>
      </c>
      <c r="E54" s="64" t="n">
        <f aca="false">+'AUGYTD '!E54-'JULYYTD '!E54</f>
        <v>1</v>
      </c>
      <c r="F54" s="64" t="n">
        <f aca="false">+'AUGYTD '!F54-'JULYYTD '!F54</f>
        <v>0</v>
      </c>
      <c r="G54" s="64" t="n">
        <f aca="false">+'AUGYTD '!G54-'JULYYTD '!G54</f>
        <v>0</v>
      </c>
      <c r="H54" s="64" t="n">
        <f aca="false">+'AUGYTD '!H54-'JULYYTD '!H54</f>
        <v>0</v>
      </c>
      <c r="I54" s="64" t="n">
        <f aca="false">+'AUGYTD '!I54-'JULYYTD '!I54</f>
        <v>0</v>
      </c>
      <c r="J54" s="64" t="n">
        <f aca="false">+'AUGYTD '!J54-'JULYYTD '!J54</f>
        <v>0</v>
      </c>
      <c r="K54" s="64" t="n">
        <f aca="false">+'AUGYTD '!K54-'JULYYTD '!K54</f>
        <v>0</v>
      </c>
      <c r="L54" s="64" t="n">
        <f aca="false">+'AUGYTD '!L54-'JULYYTD '!L54</f>
        <v>0</v>
      </c>
      <c r="M54" s="64" t="n">
        <f aca="false">+'AUGYTD '!M54-'JULYYTD '!M54</f>
        <v>0</v>
      </c>
      <c r="N54" s="64" t="n">
        <f aca="false">M54+L54</f>
        <v>0</v>
      </c>
      <c r="O54" s="64" t="n">
        <f aca="false">+'AUGYTD '!O54-'JULYYTD '!O54</f>
        <v>0</v>
      </c>
      <c r="P54" s="64" t="n">
        <f aca="false">+'AUGYTD '!P54-'JULYYTD '!P54</f>
        <v>-84</v>
      </c>
      <c r="Q54" s="64" t="n">
        <f aca="false">+'AUGYTD '!Q54-'JULYYTD '!Q54</f>
        <v>0</v>
      </c>
      <c r="S54" s="64" t="n">
        <f aca="false">+'AUGYTD '!S54-'JULYYTD '!S54</f>
        <v>-4</v>
      </c>
    </row>
    <row r="55" customFormat="false" ht="12.75" hidden="false" customHeight="true" outlineLevel="2" collapsed="false">
      <c r="A55" s="57"/>
      <c r="B55" s="58"/>
      <c r="C55" s="58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S55" s="73"/>
    </row>
    <row r="56" customFormat="false" ht="12.75" hidden="false" customHeight="true" outlineLevel="1" collapsed="false">
      <c r="A56" s="57" t="s">
        <v>89</v>
      </c>
      <c r="B56" s="74" t="n">
        <f aca="false">B52-B54</f>
        <v>-10156.213</v>
      </c>
      <c r="C56" s="58"/>
      <c r="D56" s="74" t="n">
        <f aca="false">D52-D54</f>
        <v>-7394.22700000003</v>
      </c>
      <c r="E56" s="74" t="n">
        <f aca="false">E52-E54</f>
        <v>-3437.90500000002</v>
      </c>
      <c r="F56" s="74" t="n">
        <f aca="false">F52-F54</f>
        <v>-2315.52900000001</v>
      </c>
      <c r="G56" s="74" t="n">
        <f aca="false">G52-G54</f>
        <v>0</v>
      </c>
      <c r="H56" s="74" t="n">
        <f aca="false">H52-H54</f>
        <v>-506.065000000001</v>
      </c>
      <c r="I56" s="74" t="n">
        <f aca="false">I52-I54</f>
        <v>0.966999999999999</v>
      </c>
      <c r="J56" s="74" t="n">
        <f aca="false">J52-J54</f>
        <v>71.8559999999999</v>
      </c>
      <c r="K56" s="74" t="n">
        <f aca="false">K52-K54</f>
        <v>-63.165</v>
      </c>
      <c r="L56" s="74" t="n">
        <f aca="false">L52-L54</f>
        <v>0</v>
      </c>
      <c r="M56" s="74" t="n">
        <f aca="false">M52-M54</f>
        <v>0</v>
      </c>
      <c r="N56" s="74" t="n">
        <f aca="false">N52-N54</f>
        <v>0</v>
      </c>
      <c r="O56" s="74" t="n">
        <f aca="false">O52-O54</f>
        <v>-3021.271</v>
      </c>
      <c r="P56" s="74" t="n">
        <f aca="false">P52-P54</f>
        <v>1857.848</v>
      </c>
      <c r="Q56" s="74" t="n">
        <f aca="false">Q52-Q54</f>
        <v>19.037</v>
      </c>
      <c r="S56" s="74" t="n">
        <f aca="false">S52-S54</f>
        <v>-2761.986</v>
      </c>
    </row>
    <row r="57" customFormat="false" ht="12.75" hidden="false" customHeight="true" outlineLevel="1" collapsed="false">
      <c r="B57" s="42"/>
      <c r="C57" s="42"/>
    </row>
    <row r="58" customFormat="false" ht="12.75" hidden="false" customHeight="true" outlineLevel="0" collapsed="false">
      <c r="A58" s="40" t="s">
        <v>90</v>
      </c>
      <c r="B58" s="64" t="n">
        <f aca="false">D58+S58</f>
        <v>-7</v>
      </c>
      <c r="C58" s="42"/>
      <c r="D58" s="64" t="n">
        <f aca="false">SUM(E58:Q58)</f>
        <v>-7</v>
      </c>
      <c r="E58" s="64" t="n">
        <f aca="false">+'AUGYTD '!E58-'JULYYTD '!E58</f>
        <v>-7</v>
      </c>
      <c r="F58" s="64" t="n">
        <f aca="false">+'AUGYTD '!F58-'JULYYTD '!F58</f>
        <v>0</v>
      </c>
      <c r="G58" s="64" t="n">
        <f aca="false">+'AUGYTD '!G58-'JULYYTD '!G58</f>
        <v>0</v>
      </c>
      <c r="H58" s="64" t="n">
        <f aca="false">+'AUGYTD '!H58-'JULYYTD '!H58</f>
        <v>0</v>
      </c>
      <c r="I58" s="64" t="n">
        <f aca="false">+'AUGYTD '!I58-'JULYYTD '!I58</f>
        <v>-1657</v>
      </c>
      <c r="J58" s="64" t="n">
        <f aca="false">+'AUGYTD '!J58-'JULYYTD '!J58</f>
        <v>8352</v>
      </c>
      <c r="K58" s="64" t="n">
        <f aca="false">+'AUGYTD '!K58-'JULYYTD '!K58</f>
        <v>-6695</v>
      </c>
      <c r="L58" s="64" t="n">
        <f aca="false">+'AUGYTD '!L58-'JULYYTD '!L58</f>
        <v>0</v>
      </c>
      <c r="M58" s="64" t="n">
        <f aca="false">+'AUGYTD '!M58-'JULYYTD '!M58</f>
        <v>0</v>
      </c>
      <c r="N58" s="64" t="n">
        <f aca="false">M58+L58</f>
        <v>0</v>
      </c>
      <c r="O58" s="64" t="n">
        <f aca="false">+'AUGYTD '!O58-'JULYYTD '!O58</f>
        <v>0</v>
      </c>
      <c r="P58" s="64" t="n">
        <f aca="false">+'AUGYTD '!P58-'JULYYTD '!P58</f>
        <v>0</v>
      </c>
      <c r="Q58" s="64" t="n">
        <f aca="false">+'AUGYTD '!Q58-'JULYYTD '!Q58</f>
        <v>0</v>
      </c>
      <c r="S58" s="64" t="n">
        <f aca="false">+'AUGYTD '!S58-'JULYYTD '!S58</f>
        <v>0</v>
      </c>
    </row>
    <row r="59" customFormat="false" ht="12.75" hidden="false" customHeight="true" outlineLevel="0" collapsed="false">
      <c r="B59" s="42"/>
      <c r="C59" s="42"/>
    </row>
    <row r="60" customFormat="false" ht="12.75" hidden="false" customHeight="true" outlineLevel="0" collapsed="false">
      <c r="A60" s="40" t="s">
        <v>91</v>
      </c>
      <c r="B60" s="74" t="n">
        <f aca="false">B56+B58</f>
        <v>-10163.213</v>
      </c>
      <c r="C60" s="42"/>
      <c r="D60" s="74" t="n">
        <f aca="false">D56+D58</f>
        <v>-7401.22700000003</v>
      </c>
      <c r="E60" s="74" t="n">
        <f aca="false">E56+E58</f>
        <v>-3444.90500000002</v>
      </c>
      <c r="F60" s="74" t="n">
        <f aca="false">F56+F58</f>
        <v>-2315.52900000001</v>
      </c>
      <c r="G60" s="74" t="n">
        <f aca="false">G56+G58</f>
        <v>0</v>
      </c>
      <c r="H60" s="74" t="n">
        <f aca="false">H56+H58</f>
        <v>-506.065000000001</v>
      </c>
      <c r="I60" s="74" t="n">
        <f aca="false">I56+I58</f>
        <v>-1656.033</v>
      </c>
      <c r="J60" s="74" t="n">
        <f aca="false">J56+J58</f>
        <v>8423.856</v>
      </c>
      <c r="K60" s="74" t="n">
        <f aca="false">K56+K58</f>
        <v>-6758.165</v>
      </c>
      <c r="L60" s="74" t="n">
        <f aca="false">L56+L58</f>
        <v>0</v>
      </c>
      <c r="M60" s="74" t="n">
        <f aca="false">M56+M58</f>
        <v>0</v>
      </c>
      <c r="N60" s="74" t="n">
        <f aca="false">M60+L60</f>
        <v>0</v>
      </c>
      <c r="O60" s="74" t="n">
        <f aca="false">O56+O58</f>
        <v>-3021.271</v>
      </c>
      <c r="P60" s="74" t="n">
        <f aca="false">P56+P58</f>
        <v>1857.848</v>
      </c>
      <c r="Q60" s="74" t="n">
        <f aca="false">Q56+Q58</f>
        <v>19.037</v>
      </c>
      <c r="S60" s="74" t="n">
        <f aca="false">S56+S58</f>
        <v>-2761.986</v>
      </c>
    </row>
    <row r="61" customFormat="false" ht="12.75" hidden="false" customHeight="true" outlineLevel="0" collapsed="false">
      <c r="B61" s="42"/>
      <c r="C61" s="42"/>
    </row>
    <row r="62" customFormat="false" ht="12.75" hidden="false" customHeight="true" outlineLevel="0" collapsed="false">
      <c r="B62" s="42"/>
      <c r="C62" s="42"/>
    </row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540277777777778" bottom="0.49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78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H47" activeCellId="0" sqref="H47"/>
    </sheetView>
  </sheetViews>
  <sheetFormatPr defaultColWidth="8.9921875" defaultRowHeight="12.75" customHeight="true" zeroHeight="false" outlineLevelRow="4" outlineLevelCol="0"/>
  <cols>
    <col collapsed="false" customWidth="true" hidden="false" outlineLevel="0" max="1" min="1" style="40" width="60.5"/>
    <col collapsed="false" customWidth="true" hidden="false" outlineLevel="0" max="2" min="2" style="40" width="14.49"/>
    <col collapsed="false" customWidth="true" hidden="false" outlineLevel="0" max="3" min="3" style="40" width="1.82"/>
    <col collapsed="false" customWidth="true" hidden="false" outlineLevel="0" max="4" min="4" style="40" width="11.82"/>
    <col collapsed="false" customWidth="true" hidden="false" outlineLevel="0" max="5" min="5" style="40" width="10.65"/>
    <col collapsed="false" customWidth="true" hidden="false" outlineLevel="0" max="6" min="6" style="40" width="10.82"/>
    <col collapsed="false" customWidth="true" hidden="false" outlineLevel="0" max="7" min="7" style="40" width="12.82"/>
    <col collapsed="false" customWidth="true" hidden="false" outlineLevel="0" max="10" min="8" style="40" width="10.82"/>
    <col collapsed="false" customWidth="true" hidden="false" outlineLevel="0" max="11" min="11" style="40" width="10.49"/>
    <col collapsed="false" customWidth="true" hidden="true" outlineLevel="0" max="12" min="12" style="40" width="12.49"/>
    <col collapsed="false" customWidth="true" hidden="true" outlineLevel="0" max="13" min="13" style="40" width="9.99"/>
    <col collapsed="false" customWidth="true" hidden="false" outlineLevel="0" max="14" min="14" style="40" width="9.99"/>
    <col collapsed="false" customWidth="true" hidden="false" outlineLevel="0" max="16" min="15" style="40" width="12.16"/>
    <col collapsed="false" customWidth="true" hidden="false" outlineLevel="0" max="17" min="17" style="40" width="10.82"/>
    <col collapsed="false" customWidth="true" hidden="false" outlineLevel="0" max="18" min="18" style="40" width="3.65"/>
    <col collapsed="false" customWidth="true" hidden="false" outlineLevel="0" max="19" min="19" style="40" width="10.65"/>
    <col collapsed="false" customWidth="false" hidden="false" outlineLevel="0" max="257" min="20" style="40" width="8.99"/>
  </cols>
  <sheetData>
    <row r="1" customFormat="false" ht="12.75" hidden="false" customHeight="true" outlineLevel="0" collapsed="false">
      <c r="A1" s="41" t="s">
        <v>18</v>
      </c>
      <c r="B1" s="42"/>
      <c r="C1" s="42"/>
      <c r="D1" s="42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customFormat="false" ht="12.75" hidden="false" customHeight="true" outlineLevel="0" collapsed="false">
      <c r="A2" s="44" t="s">
        <v>19</v>
      </c>
      <c r="D2" s="45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customFormat="false" ht="12.75" hidden="false" customHeight="true" outlineLevel="0" collapsed="false">
      <c r="A3" s="47" t="s">
        <v>110</v>
      </c>
      <c r="B3" s="42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</row>
    <row r="4" customFormat="false" ht="12.75" hidden="false" customHeight="true" outlineLevel="0" collapsed="false">
      <c r="A4" s="42"/>
      <c r="B4" s="49" t="s">
        <v>97</v>
      </c>
      <c r="C4" s="50"/>
      <c r="D4" s="51"/>
      <c r="I4" s="52" t="s">
        <v>98</v>
      </c>
      <c r="J4" s="52" t="s">
        <v>28</v>
      </c>
      <c r="K4" s="52" t="s">
        <v>29</v>
      </c>
      <c r="L4" s="52" t="s">
        <v>30</v>
      </c>
      <c r="M4" s="52" t="s">
        <v>31</v>
      </c>
      <c r="N4" s="52" t="s">
        <v>30</v>
      </c>
      <c r="O4" s="52" t="s">
        <v>32</v>
      </c>
      <c r="P4" s="52" t="s">
        <v>99</v>
      </c>
      <c r="S4" s="53" t="s">
        <v>21</v>
      </c>
    </row>
    <row r="5" customFormat="false" ht="12.75" hidden="false" customHeight="true" outlineLevel="0" collapsed="false">
      <c r="A5" s="54" t="s">
        <v>34</v>
      </c>
      <c r="B5" s="55" t="s">
        <v>100</v>
      </c>
      <c r="C5" s="52"/>
      <c r="D5" s="51" t="s">
        <v>35</v>
      </c>
      <c r="E5" s="51" t="s">
        <v>22</v>
      </c>
      <c r="F5" s="51" t="s">
        <v>23</v>
      </c>
      <c r="G5" s="51" t="s">
        <v>24</v>
      </c>
      <c r="H5" s="51" t="s">
        <v>25</v>
      </c>
      <c r="I5" s="51" t="n">
        <v>543</v>
      </c>
      <c r="J5" s="51" t="n">
        <v>584</v>
      </c>
      <c r="K5" s="51" t="n">
        <v>583</v>
      </c>
      <c r="L5" s="51" t="s">
        <v>36</v>
      </c>
      <c r="M5" s="51"/>
      <c r="N5" s="51" t="s">
        <v>37</v>
      </c>
      <c r="O5" s="51" t="s">
        <v>38</v>
      </c>
      <c r="P5" s="51" t="s">
        <v>101</v>
      </c>
      <c r="Q5" s="51" t="s">
        <v>33</v>
      </c>
      <c r="S5" s="56" t="s">
        <v>102</v>
      </c>
    </row>
    <row r="6" customFormat="false" ht="12.75" hidden="false" customHeight="true" outlineLevel="2" collapsed="false">
      <c r="A6" s="57"/>
      <c r="B6" s="58"/>
      <c r="C6" s="58"/>
      <c r="D6" s="59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</row>
    <row r="7" customFormat="false" ht="12.75" hidden="false" customHeight="true" outlineLevel="4" collapsed="false">
      <c r="A7" s="61" t="s">
        <v>39</v>
      </c>
      <c r="B7" s="58"/>
      <c r="C7" s="58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</row>
    <row r="8" customFormat="false" ht="12.75" hidden="false" customHeight="true" outlineLevel="4" collapsed="false">
      <c r="A8" s="57" t="s">
        <v>40</v>
      </c>
      <c r="B8" s="58" t="n">
        <f aca="false">D8+S8</f>
        <v>180277.742</v>
      </c>
      <c r="C8" s="58"/>
      <c r="D8" s="62" t="n">
        <f aca="false">SUM(E8:M8)+O8+P8+Q8</f>
        <v>182596.45</v>
      </c>
      <c r="E8" s="62" t="n">
        <f aca="false">+'[4]08YTD  '!J65</f>
        <v>103638.303</v>
      </c>
      <c r="F8" s="62" t="n">
        <f aca="false">+'[4]08YTD  '!K65</f>
        <v>40807.304</v>
      </c>
      <c r="G8" s="62" t="n">
        <f aca="false">+'[4]08YTD  '!L65</f>
        <v>30845.435</v>
      </c>
      <c r="H8" s="62" t="n">
        <f aca="false">+'[4]08YTD  '!M65</f>
        <v>2387.212</v>
      </c>
      <c r="I8" s="62" t="n">
        <f aca="false">+'[4]08YTD  '!N65</f>
        <v>-1.415</v>
      </c>
      <c r="J8" s="62" t="n">
        <f aca="false">+'[4]08YTD  '!O65</f>
        <v>452.49</v>
      </c>
      <c r="K8" s="62" t="n">
        <f aca="false">+'[4]08YTD  '!P65</f>
        <v>87.923</v>
      </c>
      <c r="L8" s="62" t="n">
        <f aca="false">+'[7]07YTD '!Q65</f>
        <v>0</v>
      </c>
      <c r="M8" s="62" t="n">
        <f aca="false">+[8]06YTD!R65</f>
        <v>0</v>
      </c>
      <c r="N8" s="62" t="n">
        <f aca="false">+'[7]07YTD '!T65</f>
        <v>0</v>
      </c>
      <c r="O8" s="62" t="n">
        <f aca="false">+'[4]08YTD  '!Q65</f>
        <v>4534.151</v>
      </c>
      <c r="P8" s="62" t="n">
        <f aca="false">+'[4]08YTD  '!R65</f>
        <v>163.894</v>
      </c>
      <c r="Q8" s="62" t="n">
        <f aca="false">+'[4]08YTD  '!S65</f>
        <v>-318.847</v>
      </c>
      <c r="S8" s="62" t="n">
        <f aca="false">+'[3]AUG_YTD '!$H$8</f>
        <v>-2318.708</v>
      </c>
    </row>
    <row r="9" customFormat="false" ht="12.75" hidden="false" customHeight="true" outlineLevel="4" collapsed="false">
      <c r="A9" s="57" t="s">
        <v>41</v>
      </c>
      <c r="B9" s="63" t="n">
        <f aca="false">D9+S9</f>
        <v>18323.064</v>
      </c>
      <c r="C9" s="58"/>
      <c r="D9" s="64" t="n">
        <f aca="false">SUM(E9:M9)+O9+P9+Q9</f>
        <v>18333.576</v>
      </c>
      <c r="E9" s="64" t="n">
        <f aca="false">-'[4]08YTD  '!J72</f>
        <v>-9618.408</v>
      </c>
      <c r="F9" s="64" t="n">
        <f aca="false">-'[4]08YTD  '!K72</f>
        <v>81.7119999999999</v>
      </c>
      <c r="G9" s="64" t="n">
        <f aca="false">-'[4]08YTD  '!L72</f>
        <v>-0</v>
      </c>
      <c r="H9" s="64" t="n">
        <f aca="false">-'[4]08YTD  '!M72</f>
        <v>2341.254</v>
      </c>
      <c r="I9" s="64" t="n">
        <f aca="false">-'[4]08YTD  '!N72</f>
        <v>-0</v>
      </c>
      <c r="J9" s="64" t="n">
        <f aca="false">-'[4]08YTD  '!O72</f>
        <v>216.934</v>
      </c>
      <c r="K9" s="64" t="n">
        <f aca="false">-'[4]08YTD  '!P72</f>
        <v>-0</v>
      </c>
      <c r="L9" s="64" t="n">
        <f aca="false">-'[7]07YTD '!Q72</f>
        <v>-0</v>
      </c>
      <c r="M9" s="64" t="n">
        <f aca="false">-[8]06YTD!R72</f>
        <v>-0</v>
      </c>
      <c r="N9" s="64" t="n">
        <f aca="false">-'[7]07YTD '!T72</f>
        <v>-0</v>
      </c>
      <c r="O9" s="64" t="n">
        <f aca="false">-'[4]08YTD  '!Q72</f>
        <v>25312.084</v>
      </c>
      <c r="P9" s="64" t="n">
        <f aca="false">-'[4]08YTD  '!R72</f>
        <v>-0</v>
      </c>
      <c r="Q9" s="64" t="n">
        <f aca="false">-'[4]08YTD  '!S72</f>
        <v>-0</v>
      </c>
      <c r="S9" s="64" t="n">
        <f aca="false">-'[9]08YTD '!$N$73</f>
        <v>-10.512</v>
      </c>
    </row>
    <row r="10" customFormat="false" ht="12.75" hidden="false" customHeight="true" outlineLevel="4" collapsed="false">
      <c r="A10" s="57" t="s">
        <v>42</v>
      </c>
      <c r="B10" s="65" t="n">
        <f aca="false">B8+B9</f>
        <v>198600.806</v>
      </c>
      <c r="C10" s="58"/>
      <c r="D10" s="65" t="n">
        <f aca="false">D8+D9</f>
        <v>200930.026</v>
      </c>
      <c r="E10" s="65" t="n">
        <f aca="false">E8+E9</f>
        <v>94019.895</v>
      </c>
      <c r="F10" s="65" t="n">
        <f aca="false">F8+F9</f>
        <v>40889.016</v>
      </c>
      <c r="G10" s="65" t="n">
        <f aca="false">G8+G9</f>
        <v>30845.435</v>
      </c>
      <c r="H10" s="65" t="n">
        <f aca="false">H8+H9</f>
        <v>4728.466</v>
      </c>
      <c r="I10" s="65" t="n">
        <f aca="false">I8+I9</f>
        <v>-1.415</v>
      </c>
      <c r="J10" s="65" t="n">
        <f aca="false">J8+J9</f>
        <v>669.424</v>
      </c>
      <c r="K10" s="65" t="n">
        <f aca="false">K8+K9</f>
        <v>87.923</v>
      </c>
      <c r="L10" s="65" t="n">
        <f aca="false">L8+L9</f>
        <v>0</v>
      </c>
      <c r="M10" s="65" t="n">
        <f aca="false">M8+M9</f>
        <v>0</v>
      </c>
      <c r="N10" s="65" t="n">
        <f aca="false">N8+N9</f>
        <v>0</v>
      </c>
      <c r="O10" s="65" t="n">
        <f aca="false">O8+O9</f>
        <v>29846.235</v>
      </c>
      <c r="P10" s="65" t="n">
        <f aca="false">P8+P9</f>
        <v>163.894</v>
      </c>
      <c r="Q10" s="65" t="n">
        <f aca="false">Q8+Q9</f>
        <v>-318.847</v>
      </c>
      <c r="S10" s="65" t="n">
        <f aca="false">S8+S9</f>
        <v>-2329.22</v>
      </c>
    </row>
    <row r="11" customFormat="false" ht="12.75" hidden="false" customHeight="true" outlineLevel="4" collapsed="false">
      <c r="A11" s="57"/>
      <c r="B11" s="65"/>
      <c r="C11" s="58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S11" s="65"/>
    </row>
    <row r="12" customFormat="false" ht="12.75" hidden="false" customHeight="true" outlineLevel="4" collapsed="false">
      <c r="A12" s="57" t="s">
        <v>43</v>
      </c>
      <c r="B12" s="58" t="n">
        <f aca="false">D12+S12</f>
        <v>43534.649</v>
      </c>
      <c r="C12" s="58"/>
      <c r="D12" s="62" t="n">
        <f aca="false">SUM(E12:M12)+O12+P12+Q12</f>
        <v>43534.649</v>
      </c>
      <c r="E12" s="62" t="n">
        <f aca="false">+'[4]08YTD  '!J36</f>
        <v>30808.225</v>
      </c>
      <c r="F12" s="62" t="n">
        <f aca="false">+'[4]08YTD  '!K36</f>
        <v>12726.424</v>
      </c>
      <c r="G12" s="62" t="n">
        <f aca="false">+'[4]08YTD  '!L36</f>
        <v>0</v>
      </c>
      <c r="H12" s="62" t="n">
        <f aca="false">+'[4]08YTD  '!M36</f>
        <v>0</v>
      </c>
      <c r="I12" s="62" t="n">
        <f aca="false">+'[4]08YTD  '!N36</f>
        <v>0</v>
      </c>
      <c r="J12" s="62" t="n">
        <f aca="false">+'[4]08YTD  '!O36</f>
        <v>0</v>
      </c>
      <c r="K12" s="62" t="n">
        <f aca="false">+'[4]08YTD  '!P36</f>
        <v>0</v>
      </c>
      <c r="L12" s="62" t="n">
        <f aca="false">+'[7]07YTD '!Q36</f>
        <v>0</v>
      </c>
      <c r="M12" s="62" t="n">
        <f aca="false">+[8]06YTD!R36</f>
        <v>0</v>
      </c>
      <c r="N12" s="62" t="n">
        <f aca="false">+'[7]07YTD '!T36</f>
        <v>0</v>
      </c>
      <c r="O12" s="62" t="n">
        <f aca="false">+'[4]08YTD  '!Q36</f>
        <v>0</v>
      </c>
      <c r="P12" s="62" t="n">
        <f aca="false">+'[4]08YTD  '!R36</f>
        <v>0</v>
      </c>
      <c r="Q12" s="62" t="n">
        <f aca="false">+'[4]08YTD  '!S36</f>
        <v>0</v>
      </c>
      <c r="S12" s="62" t="n">
        <f aca="false">+'[3]AUG_YTD '!$H$11</f>
        <v>0</v>
      </c>
    </row>
    <row r="13" customFormat="false" ht="12.75" hidden="false" customHeight="true" outlineLevel="4" collapsed="false">
      <c r="A13" s="57" t="s">
        <v>45</v>
      </c>
      <c r="B13" s="58" t="n">
        <f aca="false">D13+S13</f>
        <v>25358.663</v>
      </c>
      <c r="C13" s="58"/>
      <c r="D13" s="62" t="n">
        <f aca="false">SUM(E13:M13)+O13+P13+Q13</f>
        <v>26049.374</v>
      </c>
      <c r="E13" s="62" t="n">
        <f aca="false">+'[4]08YTD  '!J62</f>
        <v>25580.784</v>
      </c>
      <c r="F13" s="62" t="n">
        <f aca="false">+'[4]08YTD  '!K62</f>
        <v>-250.401</v>
      </c>
      <c r="G13" s="62" t="n">
        <f aca="false">+'[4]08YTD  '!L62</f>
        <v>0</v>
      </c>
      <c r="H13" s="62" t="n">
        <f aca="false">+'[4]08YTD  '!M62</f>
        <v>450.937</v>
      </c>
      <c r="I13" s="62" t="n">
        <f aca="false">+'[4]08YTD  '!N62</f>
        <v>0</v>
      </c>
      <c r="J13" s="62" t="n">
        <f aca="false">+'[4]08YTD  '!O62</f>
        <v>0</v>
      </c>
      <c r="K13" s="62" t="n">
        <f aca="false">+'[4]08YTD  '!P62</f>
        <v>-4.857</v>
      </c>
      <c r="L13" s="62" t="n">
        <f aca="false">+'[7]07YTD '!Q62</f>
        <v>0</v>
      </c>
      <c r="M13" s="62" t="n">
        <f aca="false">+[8]06YTD!R62</f>
        <v>0</v>
      </c>
      <c r="N13" s="62" t="n">
        <f aca="false">+'[7]07YTD '!T62</f>
        <v>0</v>
      </c>
      <c r="O13" s="62" t="n">
        <f aca="false">+'[4]08YTD  '!Q62</f>
        <v>272.911</v>
      </c>
      <c r="P13" s="62" t="n">
        <f aca="false">+'[4]08YTD  '!R62</f>
        <v>0</v>
      </c>
      <c r="Q13" s="62" t="n">
        <f aca="false">+'[4]08YTD  '!S62</f>
        <v>0</v>
      </c>
      <c r="S13" s="62" t="n">
        <f aca="false">+'[3]AUG_YTD '!$H$12</f>
        <v>-690.711</v>
      </c>
    </row>
    <row r="14" customFormat="false" ht="12.75" hidden="false" customHeight="true" outlineLevel="4" collapsed="false">
      <c r="A14" s="57" t="s">
        <v>47</v>
      </c>
      <c r="B14" s="58" t="n">
        <f aca="false">D14+S14</f>
        <v>-8.108</v>
      </c>
      <c r="C14" s="58"/>
      <c r="D14" s="62" t="n">
        <f aca="false">SUM(E14:M14)+O14+P14+Q14</f>
        <v>-8.108</v>
      </c>
      <c r="E14" s="62" t="n">
        <f aca="false">-'[4]08YTD  '!J46</f>
        <v>-8.11</v>
      </c>
      <c r="F14" s="62" t="n">
        <f aca="false">-'[4]08YTD  '!K46</f>
        <v>0.002</v>
      </c>
      <c r="G14" s="62" t="n">
        <f aca="false">-'[4]08YTD  '!L46</f>
        <v>-0</v>
      </c>
      <c r="H14" s="62" t="n">
        <f aca="false">-'[4]08YTD  '!M46</f>
        <v>-0</v>
      </c>
      <c r="I14" s="62" t="n">
        <f aca="false">-'[4]08YTD  '!N46</f>
        <v>-0</v>
      </c>
      <c r="J14" s="62" t="n">
        <f aca="false">-'[4]08YTD  '!O46</f>
        <v>-0</v>
      </c>
      <c r="K14" s="62" t="n">
        <f aca="false">-'[4]08YTD  '!P46</f>
        <v>-0</v>
      </c>
      <c r="L14" s="62" t="n">
        <f aca="false">-'[7]07YTD '!Q46</f>
        <v>-0</v>
      </c>
      <c r="M14" s="62" t="n">
        <f aca="false">-[8]06YTD!R46</f>
        <v>-0</v>
      </c>
      <c r="N14" s="62" t="n">
        <f aca="false">-'[7]07YTD '!T46</f>
        <v>-0</v>
      </c>
      <c r="O14" s="62" t="n">
        <f aca="false">-'[4]08YTD  '!Q46</f>
        <v>-0</v>
      </c>
      <c r="P14" s="62" t="n">
        <f aca="false">-'[4]08YTD  '!R46</f>
        <v>-0</v>
      </c>
      <c r="Q14" s="62" t="n">
        <f aca="false">-'[4]08YTD  '!S46</f>
        <v>-0</v>
      </c>
      <c r="S14" s="62" t="n">
        <f aca="false">+'[3]AUG_YTD '!$H$13</f>
        <v>0</v>
      </c>
    </row>
    <row r="15" customFormat="false" ht="12.75" hidden="false" customHeight="true" outlineLevel="4" collapsed="false">
      <c r="A15" s="57" t="s">
        <v>48</v>
      </c>
      <c r="B15" s="58" t="n">
        <f aca="false">D15+S15</f>
        <v>0</v>
      </c>
      <c r="C15" s="58"/>
      <c r="D15" s="62" t="n">
        <f aca="false">SUM(E15:M15)+O15+P15+Q15</f>
        <v>0</v>
      </c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S15" s="62"/>
    </row>
    <row r="16" customFormat="false" ht="12.75" hidden="false" customHeight="true" outlineLevel="4" collapsed="false">
      <c r="A16" s="57" t="s">
        <v>51</v>
      </c>
      <c r="B16" s="58" t="n">
        <f aca="false">D16+S16</f>
        <v>-37999.09</v>
      </c>
      <c r="C16" s="58"/>
      <c r="D16" s="62" t="n">
        <f aca="false">SUM(E16:M16)+O16+P16+Q16</f>
        <v>-38225.71</v>
      </c>
      <c r="E16" s="62" t="n">
        <f aca="false">-'[4]08YTD  '!J43</f>
        <v>-2590.159</v>
      </c>
      <c r="F16" s="62" t="n">
        <f aca="false">-'[4]08YTD  '!K43</f>
        <v>-0</v>
      </c>
      <c r="G16" s="62" t="n">
        <f aca="false">-'[4]08YTD  '!L43</f>
        <v>-30845.435</v>
      </c>
      <c r="H16" s="62" t="n">
        <f aca="false">-'[4]08YTD  '!M43</f>
        <v>-4790.116</v>
      </c>
      <c r="I16" s="62" t="n">
        <f aca="false">-'[4]08YTD  '!N43</f>
        <v>-0</v>
      </c>
      <c r="J16" s="62" t="n">
        <f aca="false">-'[4]08YTD  '!O43</f>
        <v>-0</v>
      </c>
      <c r="K16" s="62" t="n">
        <f aca="false">-'[4]08YTD  '!P43</f>
        <v>-0</v>
      </c>
      <c r="L16" s="62" t="n">
        <f aca="false">-'[7]07YTD '!Q43</f>
        <v>-0</v>
      </c>
      <c r="M16" s="62" t="n">
        <f aca="false">-[8]06YTD!R43</f>
        <v>-0</v>
      </c>
      <c r="N16" s="62" t="n">
        <f aca="false">-'[7]07YTD '!T43</f>
        <v>-0</v>
      </c>
      <c r="O16" s="62" t="n">
        <f aca="false">-'[4]08YTD  '!Q43</f>
        <v>-0</v>
      </c>
      <c r="P16" s="62" t="n">
        <f aca="false">-'[4]08YTD  '!R43</f>
        <v>-0</v>
      </c>
      <c r="Q16" s="62" t="n">
        <f aca="false">-'[4]08YTD  '!S43</f>
        <v>-0</v>
      </c>
      <c r="S16" s="62" t="n">
        <f aca="false">+'[3]AUG_YTD '!$H$15</f>
        <v>226.62</v>
      </c>
    </row>
    <row r="17" customFormat="false" ht="12.75" hidden="false" customHeight="true" outlineLevel="4" collapsed="false">
      <c r="A17" s="57" t="s">
        <v>52</v>
      </c>
      <c r="B17" s="58" t="n">
        <f aca="false">D17+S17</f>
        <v>9218</v>
      </c>
      <c r="C17" s="58"/>
      <c r="D17" s="62" t="n">
        <f aca="false">SUM(E17:M17)+O17+P17+Q17</f>
        <v>4083</v>
      </c>
      <c r="E17" s="75" t="n">
        <v>1634</v>
      </c>
      <c r="F17" s="75"/>
      <c r="G17" s="75"/>
      <c r="H17" s="75" t="n">
        <v>2449</v>
      </c>
      <c r="I17" s="75"/>
      <c r="J17" s="75"/>
      <c r="K17" s="75"/>
      <c r="L17" s="78"/>
      <c r="M17" s="78"/>
      <c r="N17" s="62" t="n">
        <f aca="false">M17+L17</f>
        <v>0</v>
      </c>
      <c r="O17" s="75"/>
      <c r="P17" s="75"/>
      <c r="Q17" s="75"/>
      <c r="S17" s="62" t="n">
        <f aca="false">+'[3]AUG_YTD '!$H$16</f>
        <v>5135</v>
      </c>
    </row>
    <row r="18" customFormat="false" ht="12.75" hidden="false" customHeight="true" outlineLevel="4" collapsed="false">
      <c r="A18" s="57" t="s">
        <v>53</v>
      </c>
      <c r="B18" s="63" t="n">
        <f aca="false">D18+S18</f>
        <v>-36571</v>
      </c>
      <c r="C18" s="58"/>
      <c r="D18" s="62" t="n">
        <f aca="false">SUM(E18:M18)+O18+P18+Q18</f>
        <v>-36583</v>
      </c>
      <c r="E18" s="64" t="n">
        <f aca="false">-5208-17744-14700</f>
        <v>-37652</v>
      </c>
      <c r="F18" s="64" t="n">
        <f aca="false">3258+2228</f>
        <v>5486</v>
      </c>
      <c r="G18" s="64" t="n">
        <v>0</v>
      </c>
      <c r="H18" s="64"/>
      <c r="I18" s="64" t="n">
        <v>-13</v>
      </c>
      <c r="J18" s="64" t="n">
        <v>303</v>
      </c>
      <c r="K18" s="64" t="n">
        <v>15</v>
      </c>
      <c r="L18" s="79" t="n">
        <v>-7964</v>
      </c>
      <c r="M18" s="79"/>
      <c r="N18" s="62" t="n">
        <f aca="false">M18+L18</f>
        <v>-7964</v>
      </c>
      <c r="O18" s="64" t="n">
        <v>3720</v>
      </c>
      <c r="P18" s="64" t="n">
        <v>0</v>
      </c>
      <c r="Q18" s="64" t="n">
        <v>-478</v>
      </c>
      <c r="S18" s="62" t="n">
        <f aca="false">+'[3]AUG_YTD '!$H$17</f>
        <v>12</v>
      </c>
    </row>
    <row r="19" customFormat="false" ht="12.75" hidden="false" customHeight="true" outlineLevel="4" collapsed="false">
      <c r="A19" s="57" t="s">
        <v>54</v>
      </c>
      <c r="B19" s="66" t="n">
        <f aca="false">SUM(B10:B18)</f>
        <v>202133.92</v>
      </c>
      <c r="C19" s="58"/>
      <c r="D19" s="66" t="n">
        <f aca="false">SUM(D10:D18)</f>
        <v>199780.231</v>
      </c>
      <c r="E19" s="66" t="n">
        <f aca="false">SUM(E10:E18)</f>
        <v>111792.635</v>
      </c>
      <c r="F19" s="66" t="n">
        <f aca="false">SUM(F10:F18)</f>
        <v>58851.041</v>
      </c>
      <c r="G19" s="66" t="n">
        <f aca="false">SUM(G10:G18)</f>
        <v>0</v>
      </c>
      <c r="H19" s="66" t="n">
        <f aca="false">SUM(H10:H18)</f>
        <v>2838.287</v>
      </c>
      <c r="I19" s="66" t="n">
        <f aca="false">SUM(I10:I18)</f>
        <v>-14.415</v>
      </c>
      <c r="J19" s="66" t="n">
        <f aca="false">SUM(J10:J18)</f>
        <v>972.424</v>
      </c>
      <c r="K19" s="66" t="n">
        <f aca="false">SUM(K10:K18)</f>
        <v>98.066</v>
      </c>
      <c r="L19" s="66" t="n">
        <f aca="false">SUM(L10:L18)</f>
        <v>-7964</v>
      </c>
      <c r="M19" s="66" t="n">
        <f aca="false">SUM(M10:M18)</f>
        <v>0</v>
      </c>
      <c r="N19" s="66" t="n">
        <f aca="false">SUM(N10:N18)</f>
        <v>-7964</v>
      </c>
      <c r="O19" s="66" t="n">
        <f aca="false">SUM(O10:O18)</f>
        <v>33839.146</v>
      </c>
      <c r="P19" s="66" t="n">
        <f aca="false">SUM(P10:P18)</f>
        <v>163.894</v>
      </c>
      <c r="Q19" s="66" t="n">
        <f aca="false">SUM(Q10:Q18)</f>
        <v>-796.847</v>
      </c>
      <c r="S19" s="66" t="n">
        <f aca="false">SUM(S10:S18)</f>
        <v>2353.689</v>
      </c>
    </row>
    <row r="20" customFormat="false" ht="12.75" hidden="false" customHeight="true" outlineLevel="4" collapsed="false">
      <c r="A20" s="57"/>
      <c r="B20" s="42"/>
      <c r="C20" s="58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S20" s="42"/>
    </row>
    <row r="21" customFormat="false" ht="12.75" hidden="false" customHeight="true" outlineLevel="4" collapsed="false">
      <c r="A21" s="57" t="s">
        <v>103</v>
      </c>
      <c r="B21" s="58"/>
      <c r="C21" s="58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S21" s="42"/>
    </row>
    <row r="22" customFormat="false" ht="12.75" hidden="false" customHeight="true" outlineLevel="4" collapsed="false">
      <c r="A22" s="57" t="s">
        <v>56</v>
      </c>
      <c r="B22" s="58" t="n">
        <f aca="false">D22+S22</f>
        <v>21360</v>
      </c>
      <c r="C22" s="58"/>
      <c r="D22" s="62" t="n">
        <f aca="false">SUM(E22:M22)+O22+P22+Q22</f>
        <v>18676</v>
      </c>
      <c r="E22" s="62" t="n">
        <v>26307</v>
      </c>
      <c r="F22" s="62" t="n">
        <v>-2819</v>
      </c>
      <c r="G22" s="62"/>
      <c r="H22" s="62" t="n">
        <v>-114</v>
      </c>
      <c r="I22" s="62" t="n">
        <v>13</v>
      </c>
      <c r="J22" s="62" t="n">
        <v>-2066</v>
      </c>
      <c r="K22" s="62" t="n">
        <v>276</v>
      </c>
      <c r="L22" s="80" t="n">
        <v>26</v>
      </c>
      <c r="M22" s="80"/>
      <c r="N22" s="62" t="n">
        <f aca="false">M22+L22</f>
        <v>26</v>
      </c>
      <c r="O22" s="62" t="n">
        <v>-1255</v>
      </c>
      <c r="P22" s="62" t="n">
        <v>-1973</v>
      </c>
      <c r="Q22" s="62" t="n">
        <v>281</v>
      </c>
      <c r="S22" s="62" t="n">
        <f aca="false">+'[3]AUG_YTD '!$H$20</f>
        <v>2684</v>
      </c>
    </row>
    <row r="23" customFormat="false" ht="12.75" hidden="false" customHeight="true" outlineLevel="4" collapsed="false">
      <c r="A23" s="57" t="s">
        <v>58</v>
      </c>
      <c r="B23" s="58" t="n">
        <f aca="false">D23+S23</f>
        <v>-17384</v>
      </c>
      <c r="C23" s="58"/>
      <c r="D23" s="62" t="n">
        <f aca="false">SUM(E23:M23)+O23+P23+Q23</f>
        <v>-17384</v>
      </c>
      <c r="E23" s="62" t="n">
        <v>-58220</v>
      </c>
      <c r="F23" s="62" t="n">
        <v>-23269</v>
      </c>
      <c r="G23" s="62"/>
      <c r="H23" s="62" t="n">
        <v>-3556</v>
      </c>
      <c r="I23" s="62" t="n">
        <v>0</v>
      </c>
      <c r="J23" s="62" t="n">
        <v>3190</v>
      </c>
      <c r="K23" s="62" t="n">
        <v>-885</v>
      </c>
      <c r="L23" s="80" t="n">
        <v>-22902</v>
      </c>
      <c r="M23" s="80"/>
      <c r="N23" s="62" t="n">
        <f aca="false">M23+L23</f>
        <v>-22902</v>
      </c>
      <c r="O23" s="62" t="n">
        <v>1091</v>
      </c>
      <c r="P23" s="62" t="n">
        <v>86606</v>
      </c>
      <c r="Q23" s="62" t="n">
        <v>561</v>
      </c>
      <c r="S23" s="62" t="n">
        <f aca="false">+'[3]AUG_YTD '!$H$21</f>
        <v>0</v>
      </c>
    </row>
    <row r="24" customFormat="false" ht="12.75" hidden="false" customHeight="true" outlineLevel="4" collapsed="false">
      <c r="A24" s="57" t="s">
        <v>60</v>
      </c>
      <c r="B24" s="58" t="n">
        <f aca="false">D24+S24</f>
        <v>394</v>
      </c>
      <c r="C24" s="58"/>
      <c r="D24" s="62" t="n">
        <f aca="false">SUM(E24:M24)+O24+P24+Q24</f>
        <v>394</v>
      </c>
      <c r="E24" s="62" t="n">
        <v>86</v>
      </c>
      <c r="F24" s="62" t="n">
        <v>133</v>
      </c>
      <c r="G24" s="62"/>
      <c r="H24" s="62"/>
      <c r="I24" s="62" t="n">
        <v>2</v>
      </c>
      <c r="J24" s="62"/>
      <c r="K24" s="62"/>
      <c r="L24" s="80" t="n">
        <v>173</v>
      </c>
      <c r="M24" s="80"/>
      <c r="N24" s="62" t="n">
        <f aca="false">M24+L24</f>
        <v>173</v>
      </c>
      <c r="O24" s="62"/>
      <c r="P24" s="62"/>
      <c r="Q24" s="62"/>
      <c r="S24" s="62" t="n">
        <f aca="false">+'[3]AUG_YTD '!$H$22</f>
        <v>0</v>
      </c>
    </row>
    <row r="25" customFormat="false" ht="12.75" hidden="false" customHeight="true" outlineLevel="4" collapsed="false">
      <c r="A25" s="57" t="s">
        <v>61</v>
      </c>
      <c r="B25" s="58" t="n">
        <f aca="false">D25+S25</f>
        <v>7</v>
      </c>
      <c r="C25" s="58"/>
      <c r="D25" s="62" t="n">
        <f aca="false">SUM(E25:M25)+O25+P25+Q25</f>
        <v>7</v>
      </c>
      <c r="E25" s="62" t="n">
        <v>0</v>
      </c>
      <c r="F25" s="62" t="n">
        <v>7</v>
      </c>
      <c r="G25" s="62"/>
      <c r="H25" s="62"/>
      <c r="I25" s="62"/>
      <c r="J25" s="62"/>
      <c r="K25" s="62"/>
      <c r="L25" s="80"/>
      <c r="M25" s="80"/>
      <c r="N25" s="62" t="n">
        <f aca="false">M25+L25</f>
        <v>0</v>
      </c>
      <c r="O25" s="62"/>
      <c r="P25" s="62"/>
      <c r="Q25" s="62"/>
      <c r="S25" s="62" t="n">
        <f aca="false">+'[3]AUG_YTD '!$H$23</f>
        <v>0</v>
      </c>
    </row>
    <row r="26" customFormat="false" ht="12.75" hidden="false" customHeight="true" outlineLevel="4" collapsed="false">
      <c r="A26" s="57" t="s">
        <v>62</v>
      </c>
      <c r="B26" s="58" t="n">
        <f aca="false">D26+S26</f>
        <v>-10685</v>
      </c>
      <c r="C26" s="58"/>
      <c r="D26" s="62" t="n">
        <f aca="false">SUM(E26:M26)+O26+P26+Q26</f>
        <v>-10705</v>
      </c>
      <c r="E26" s="62" t="n">
        <v>-10298</v>
      </c>
      <c r="F26" s="62" t="n">
        <v>-3010</v>
      </c>
      <c r="G26" s="62"/>
      <c r="H26" s="62" t="n">
        <v>108</v>
      </c>
      <c r="I26" s="62"/>
      <c r="J26" s="62" t="n">
        <v>-894</v>
      </c>
      <c r="K26" s="62" t="n">
        <v>-1</v>
      </c>
      <c r="L26" s="80" t="n">
        <v>-110</v>
      </c>
      <c r="M26" s="80"/>
      <c r="N26" s="62" t="n">
        <f aca="false">M26+L26</f>
        <v>-110</v>
      </c>
      <c r="O26" s="62" t="n">
        <v>-576</v>
      </c>
      <c r="P26" s="62" t="n">
        <v>4206</v>
      </c>
      <c r="Q26" s="62" t="n">
        <v>-130</v>
      </c>
      <c r="S26" s="62" t="n">
        <f aca="false">+'[3]AUG_YTD '!$H$24</f>
        <v>20</v>
      </c>
    </row>
    <row r="27" customFormat="false" ht="12.75" hidden="false" customHeight="true" outlineLevel="4" collapsed="false">
      <c r="A27" s="57" t="s">
        <v>104</v>
      </c>
      <c r="B27" s="58" t="n">
        <f aca="false">D27+S27</f>
        <v>848</v>
      </c>
      <c r="C27" s="58"/>
      <c r="D27" s="62" t="n">
        <f aca="false">SUM(E27:M27)+O27+P27+Q27</f>
        <v>848</v>
      </c>
      <c r="E27" s="62" t="n">
        <v>1637</v>
      </c>
      <c r="F27" s="62" t="n">
        <v>-789</v>
      </c>
      <c r="G27" s="62"/>
      <c r="H27" s="62" t="n">
        <v>0</v>
      </c>
      <c r="I27" s="62"/>
      <c r="J27" s="62"/>
      <c r="K27" s="62"/>
      <c r="L27" s="80"/>
      <c r="M27" s="80"/>
      <c r="N27" s="62" t="n">
        <f aca="false">M27+L27</f>
        <v>0</v>
      </c>
      <c r="O27" s="62"/>
      <c r="P27" s="62"/>
      <c r="Q27" s="62"/>
      <c r="S27" s="62" t="n">
        <f aca="false">+'[3]AUG_YTD '!$H$25</f>
        <v>0</v>
      </c>
    </row>
    <row r="28" customFormat="false" ht="12.75" hidden="false" customHeight="true" outlineLevel="4" collapsed="false">
      <c r="A28" s="57" t="s">
        <v>64</v>
      </c>
      <c r="B28" s="58" t="n">
        <f aca="false">D28+S28</f>
        <v>807</v>
      </c>
      <c r="C28" s="58"/>
      <c r="D28" s="62" t="n">
        <f aca="false">SUM(E28:M28)+O28+P28+Q28</f>
        <v>794</v>
      </c>
      <c r="E28" s="62" t="n">
        <v>1859</v>
      </c>
      <c r="F28" s="62" t="n">
        <v>988</v>
      </c>
      <c r="G28" s="62"/>
      <c r="H28" s="62" t="n">
        <v>-1</v>
      </c>
      <c r="I28" s="62"/>
      <c r="J28" s="62" t="n">
        <v>2</v>
      </c>
      <c r="K28" s="62" t="n">
        <v>-1</v>
      </c>
      <c r="L28" s="80" t="n">
        <v>-1572</v>
      </c>
      <c r="M28" s="80" t="n">
        <v>0</v>
      </c>
      <c r="N28" s="62" t="n">
        <f aca="false">M28+L28</f>
        <v>-1572</v>
      </c>
      <c r="O28" s="62" t="n">
        <v>-482</v>
      </c>
      <c r="P28" s="62"/>
      <c r="Q28" s="62" t="n">
        <v>1</v>
      </c>
      <c r="S28" s="62" t="n">
        <f aca="false">+'[3]AUG_YTD '!$H$26</f>
        <v>13</v>
      </c>
    </row>
    <row r="29" customFormat="false" ht="12.75" hidden="false" customHeight="true" outlineLevel="4" collapsed="false">
      <c r="A29" s="57" t="s">
        <v>65</v>
      </c>
      <c r="B29" s="58" t="n">
        <f aca="false">D29+S29</f>
        <v>6862</v>
      </c>
      <c r="C29" s="58"/>
      <c r="D29" s="62" t="n">
        <f aca="false">SUM(E29:M29)+O29+P29+Q29</f>
        <v>6862</v>
      </c>
      <c r="E29" s="75" t="n">
        <v>5750</v>
      </c>
      <c r="F29" s="75" t="n">
        <v>1112</v>
      </c>
      <c r="G29" s="75"/>
      <c r="H29" s="75"/>
      <c r="I29" s="75"/>
      <c r="J29" s="75"/>
      <c r="K29" s="75"/>
      <c r="L29" s="78"/>
      <c r="M29" s="78"/>
      <c r="N29" s="62" t="n">
        <f aca="false">M29+L29</f>
        <v>0</v>
      </c>
      <c r="O29" s="75"/>
      <c r="P29" s="75"/>
      <c r="Q29" s="75"/>
      <c r="S29" s="62" t="n">
        <f aca="false">+'[3]AUG_YTD '!$H$27</f>
        <v>0</v>
      </c>
    </row>
    <row r="30" customFormat="false" ht="12.75" hidden="false" customHeight="true" outlineLevel="4" collapsed="false">
      <c r="A30" s="57" t="s">
        <v>66</v>
      </c>
      <c r="B30" s="63" t="n">
        <f aca="false">D30+S30</f>
        <v>-8090</v>
      </c>
      <c r="C30" s="58"/>
      <c r="D30" s="62" t="n">
        <f aca="false">SUM(E30:M30)+O30+P30+Q30</f>
        <v>-8090</v>
      </c>
      <c r="E30" s="64" t="n">
        <v>-9169</v>
      </c>
      <c r="F30" s="64" t="n">
        <v>449</v>
      </c>
      <c r="G30" s="64"/>
      <c r="H30" s="64" t="n">
        <v>-634</v>
      </c>
      <c r="I30" s="64"/>
      <c r="J30" s="64" t="n">
        <v>-122</v>
      </c>
      <c r="K30" s="64" t="n">
        <v>2</v>
      </c>
      <c r="L30" s="79" t="n">
        <v>3</v>
      </c>
      <c r="M30" s="79"/>
      <c r="N30" s="64" t="n">
        <f aca="false">M30+L30</f>
        <v>3</v>
      </c>
      <c r="O30" s="64" t="n">
        <v>1385</v>
      </c>
      <c r="P30" s="64"/>
      <c r="Q30" s="64" t="n">
        <v>-4</v>
      </c>
      <c r="S30" s="62" t="n">
        <f aca="false">+'[3]AUG_YTD '!$H$28</f>
        <v>0</v>
      </c>
    </row>
    <row r="31" customFormat="false" ht="12.75" hidden="false" customHeight="true" outlineLevel="4" collapsed="false">
      <c r="A31" s="57" t="s">
        <v>67</v>
      </c>
      <c r="B31" s="67" t="n">
        <f aca="false">SUM(B21:B30)</f>
        <v>-5881</v>
      </c>
      <c r="C31" s="68"/>
      <c r="D31" s="67" t="n">
        <f aca="false">SUM(D21:D30)</f>
        <v>-8598</v>
      </c>
      <c r="E31" s="67" t="n">
        <f aca="false">SUM(E21:E30)</f>
        <v>-42048</v>
      </c>
      <c r="F31" s="67" t="n">
        <f aca="false">SUM(F21:F30)</f>
        <v>-27198</v>
      </c>
      <c r="G31" s="67" t="n">
        <f aca="false">SUM(G21:G30)</f>
        <v>0</v>
      </c>
      <c r="H31" s="67" t="n">
        <f aca="false">SUM(H21:H30)</f>
        <v>-4197</v>
      </c>
      <c r="I31" s="67" t="n">
        <f aca="false">SUM(I21:I30)</f>
        <v>15</v>
      </c>
      <c r="J31" s="67" t="n">
        <f aca="false">SUM(J21:J30)</f>
        <v>110</v>
      </c>
      <c r="K31" s="67" t="n">
        <f aca="false">SUM(K21:K30)</f>
        <v>-609</v>
      </c>
      <c r="L31" s="67" t="n">
        <f aca="false">SUM(L21:L30)</f>
        <v>-24382</v>
      </c>
      <c r="M31" s="67" t="n">
        <f aca="false">SUM(M21:M30)</f>
        <v>0</v>
      </c>
      <c r="N31" s="67" t="n">
        <f aca="false">SUM(N21:N30)</f>
        <v>-24382</v>
      </c>
      <c r="O31" s="67" t="n">
        <f aca="false">SUM(O21:O30)</f>
        <v>163</v>
      </c>
      <c r="P31" s="67" t="n">
        <f aca="false">SUM(P21:P30)</f>
        <v>88839</v>
      </c>
      <c r="Q31" s="67" t="n">
        <f aca="false">SUM(Q21:Q30)</f>
        <v>709</v>
      </c>
      <c r="S31" s="67" t="n">
        <f aca="false">SUM(S21:S30)</f>
        <v>2717</v>
      </c>
    </row>
    <row r="32" customFormat="false" ht="12.75" hidden="false" customHeight="true" outlineLevel="4" collapsed="false">
      <c r="A32" s="57"/>
      <c r="B32" s="69"/>
      <c r="C32" s="68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42"/>
      <c r="S32" s="69"/>
    </row>
    <row r="33" customFormat="false" ht="12.75" hidden="false" customHeight="true" outlineLevel="3" collapsed="false">
      <c r="A33" s="57" t="s">
        <v>68</v>
      </c>
      <c r="B33" s="70" t="n">
        <f aca="false">B19+B31</f>
        <v>196252.92</v>
      </c>
      <c r="C33" s="58"/>
      <c r="D33" s="70" t="n">
        <f aca="false">D19+D31</f>
        <v>191182.231</v>
      </c>
      <c r="E33" s="70" t="n">
        <f aca="false">E19+E31</f>
        <v>69744.635</v>
      </c>
      <c r="F33" s="70" t="n">
        <f aca="false">F19+F31</f>
        <v>31653.041</v>
      </c>
      <c r="G33" s="70" t="n">
        <f aca="false">G19+G31</f>
        <v>0</v>
      </c>
      <c r="H33" s="70" t="n">
        <f aca="false">H19+H31</f>
        <v>-1358.713</v>
      </c>
      <c r="I33" s="70" t="n">
        <f aca="false">I19+I31</f>
        <v>0.585000000000001</v>
      </c>
      <c r="J33" s="70" t="n">
        <f aca="false">J19+J31</f>
        <v>1082.424</v>
      </c>
      <c r="K33" s="70" t="n">
        <f aca="false">K19+K31</f>
        <v>-510.934</v>
      </c>
      <c r="L33" s="70" t="n">
        <f aca="false">L19+L31</f>
        <v>-32346</v>
      </c>
      <c r="M33" s="70" t="n">
        <f aca="false">M19+M31</f>
        <v>0</v>
      </c>
      <c r="N33" s="70" t="n">
        <f aca="false">N19+N31</f>
        <v>-32346</v>
      </c>
      <c r="O33" s="70" t="n">
        <f aca="false">O19+O31</f>
        <v>34002.146</v>
      </c>
      <c r="P33" s="70" t="n">
        <f aca="false">P19+P31</f>
        <v>89002.894</v>
      </c>
      <c r="Q33" s="70" t="n">
        <f aca="false">Q19+Q31</f>
        <v>-87.847</v>
      </c>
      <c r="S33" s="70" t="n">
        <f aca="false">S19+S31</f>
        <v>5070.689</v>
      </c>
    </row>
    <row r="34" customFormat="false" ht="12.75" hidden="false" customHeight="true" outlineLevel="3" collapsed="false">
      <c r="B34" s="58"/>
      <c r="C34" s="58"/>
    </row>
    <row r="35" customFormat="false" ht="12.75" hidden="false" customHeight="true" outlineLevel="3" collapsed="false">
      <c r="A35" s="61" t="s">
        <v>69</v>
      </c>
      <c r="B35" s="58"/>
      <c r="C35" s="58"/>
    </row>
    <row r="36" customFormat="false" ht="12.75" hidden="false" customHeight="true" outlineLevel="4" collapsed="false">
      <c r="A36" s="57" t="s">
        <v>70</v>
      </c>
      <c r="B36" s="58" t="n">
        <f aca="false">D36+S36</f>
        <v>5664</v>
      </c>
      <c r="C36" s="58"/>
      <c r="D36" s="62" t="n">
        <f aca="false">SUM(E36:M36)+O36+P36+Q36</f>
        <v>5664</v>
      </c>
      <c r="E36" s="76" t="n">
        <v>5547</v>
      </c>
      <c r="F36" s="76" t="n">
        <v>117</v>
      </c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S36" s="76"/>
    </row>
    <row r="37" customFormat="false" ht="12.75" hidden="false" customHeight="true" outlineLevel="4" collapsed="false">
      <c r="A37" s="57" t="s">
        <v>71</v>
      </c>
      <c r="B37" s="58" t="n">
        <f aca="false">D37+S37</f>
        <v>-47920</v>
      </c>
      <c r="C37" s="58"/>
      <c r="D37" s="62" t="n">
        <f aca="false">SUM(E37:M37)+O37+P37+Q37</f>
        <v>-47920</v>
      </c>
      <c r="E37" s="76" t="n">
        <v>-29578</v>
      </c>
      <c r="F37" s="76" t="n">
        <v>-18342</v>
      </c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S37" s="76"/>
    </row>
    <row r="38" customFormat="false" ht="12.75" hidden="false" customHeight="true" outlineLevel="4" collapsed="false">
      <c r="A38" s="57" t="s">
        <v>105</v>
      </c>
      <c r="B38" s="58" t="n">
        <f aca="false">D38+S38</f>
        <v>16844</v>
      </c>
      <c r="C38" s="58"/>
      <c r="D38" s="62" t="n">
        <f aca="false">SUM(E38:M38)+O38+P38+Q38</f>
        <v>16844</v>
      </c>
      <c r="E38" s="76" t="n">
        <f aca="false">18694-1630</f>
        <v>17064</v>
      </c>
      <c r="F38" s="76" t="n">
        <f aca="false">218-438</f>
        <v>-220</v>
      </c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S38" s="76"/>
    </row>
    <row r="39" customFormat="false" ht="12.75" hidden="false" customHeight="true" outlineLevel="4" collapsed="false">
      <c r="A39" s="57" t="s">
        <v>106</v>
      </c>
      <c r="B39" s="58" t="n">
        <f aca="false">D39+S39</f>
        <v>-6770</v>
      </c>
      <c r="C39" s="58"/>
      <c r="D39" s="62" t="n">
        <f aca="false">SUM(E39:Q39)</f>
        <v>0</v>
      </c>
      <c r="E39" s="76" t="n">
        <v>0</v>
      </c>
      <c r="F39" s="76" t="n">
        <v>0</v>
      </c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S39" s="76" t="n">
        <f aca="false">+'[3]AUG_YTD '!$H$37</f>
        <v>-6770</v>
      </c>
    </row>
    <row r="40" customFormat="false" ht="12.75" hidden="false" customHeight="true" outlineLevel="4" collapsed="false">
      <c r="A40" s="57" t="s">
        <v>76</v>
      </c>
      <c r="B40" s="58" t="n">
        <f aca="false">D40+S40</f>
        <v>0</v>
      </c>
      <c r="C40" s="58"/>
      <c r="D40" s="62" t="n">
        <f aca="false">SUM(E40:Q40)</f>
        <v>0</v>
      </c>
      <c r="E40" s="76" t="n">
        <v>0</v>
      </c>
      <c r="F40" s="76" t="n">
        <v>0</v>
      </c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S40" s="76"/>
    </row>
    <row r="41" customFormat="false" ht="12.75" hidden="false" customHeight="true" outlineLevel="4" collapsed="false">
      <c r="A41" s="57" t="s">
        <v>77</v>
      </c>
      <c r="B41" s="63" t="n">
        <f aca="false">D41+S41</f>
        <v>42</v>
      </c>
      <c r="C41" s="58"/>
      <c r="D41" s="64" t="n">
        <f aca="false">SUM(E41:M41)+O41+P41+Q41</f>
        <v>42</v>
      </c>
      <c r="E41" s="64" t="n">
        <f aca="false">-3-11+56</f>
        <v>42</v>
      </c>
      <c r="F41" s="64" t="n">
        <v>0</v>
      </c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S41" s="64"/>
    </row>
    <row r="42" customFormat="false" ht="12.75" hidden="false" customHeight="true" outlineLevel="3" collapsed="false">
      <c r="A42" s="57" t="s">
        <v>78</v>
      </c>
      <c r="B42" s="70" t="n">
        <f aca="false">SUM(B36:B41)</f>
        <v>-32140</v>
      </c>
      <c r="C42" s="71" t="n">
        <f aca="false">SUM(C36:C41)</f>
        <v>0</v>
      </c>
      <c r="D42" s="70" t="n">
        <f aca="false">SUM(D36:D41)</f>
        <v>-25370</v>
      </c>
      <c r="E42" s="70" t="n">
        <f aca="false">SUM(E36:E41)</f>
        <v>-6925</v>
      </c>
      <c r="F42" s="70" t="n">
        <f aca="false">SUM(F36:F41)</f>
        <v>-18445</v>
      </c>
      <c r="G42" s="70" t="n">
        <f aca="false">SUM(G36:G41)</f>
        <v>0</v>
      </c>
      <c r="H42" s="70" t="n">
        <f aca="false">SUM(H36:H41)</f>
        <v>0</v>
      </c>
      <c r="I42" s="70" t="n">
        <f aca="false">SUM(I36:I41)</f>
        <v>0</v>
      </c>
      <c r="J42" s="70" t="n">
        <f aca="false">SUM(J36:J41)</f>
        <v>0</v>
      </c>
      <c r="K42" s="70" t="n">
        <f aca="false">SUM(K36:K41)</f>
        <v>0</v>
      </c>
      <c r="L42" s="70" t="n">
        <f aca="false">SUM(L36:L41)</f>
        <v>0</v>
      </c>
      <c r="M42" s="70" t="n">
        <f aca="false">SUM(M36:M41)</f>
        <v>0</v>
      </c>
      <c r="N42" s="70"/>
      <c r="O42" s="70" t="n">
        <f aca="false">SUM(O36:O41)</f>
        <v>0</v>
      </c>
      <c r="P42" s="70" t="n">
        <f aca="false">SUM(P36:P41)</f>
        <v>0</v>
      </c>
      <c r="Q42" s="70" t="n">
        <f aca="false">SUM(Q36:Q41)</f>
        <v>0</v>
      </c>
      <c r="S42" s="70" t="n">
        <f aca="false">SUM(S36:S41)</f>
        <v>-6770</v>
      </c>
    </row>
    <row r="43" customFormat="false" ht="12.75" hidden="false" customHeight="true" outlineLevel="3" collapsed="false">
      <c r="B43" s="58"/>
      <c r="C43" s="58"/>
    </row>
    <row r="44" customFormat="false" ht="12.75" hidden="false" customHeight="true" outlineLevel="3" collapsed="false">
      <c r="A44" s="61" t="s">
        <v>79</v>
      </c>
      <c r="B44" s="58"/>
      <c r="C44" s="58"/>
    </row>
    <row r="45" customFormat="false" ht="12.75" hidden="false" customHeight="true" outlineLevel="4" collapsed="false">
      <c r="A45" s="57" t="s">
        <v>80</v>
      </c>
      <c r="B45" s="58" t="n">
        <f aca="false">D45+S45</f>
        <v>0</v>
      </c>
      <c r="C45" s="58"/>
      <c r="D45" s="62" t="n">
        <f aca="false">SUM(E45:Q45)</f>
        <v>0</v>
      </c>
      <c r="E45" s="62"/>
      <c r="F45" s="62" t="n">
        <v>0</v>
      </c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S45" s="62"/>
    </row>
    <row r="46" customFormat="false" ht="12.75" hidden="false" customHeight="true" outlineLevel="4" collapsed="false">
      <c r="A46" s="57" t="s">
        <v>81</v>
      </c>
      <c r="B46" s="58" t="n">
        <f aca="false">D46+S46</f>
        <v>150000</v>
      </c>
      <c r="C46" s="58"/>
      <c r="D46" s="62" t="n">
        <f aca="false">SUM(E46:M46)+O46+P46+Q46</f>
        <v>150000</v>
      </c>
      <c r="E46" s="62"/>
      <c r="F46" s="62" t="n">
        <v>150000</v>
      </c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S46" s="62"/>
    </row>
    <row r="47" customFormat="false" ht="12.75" hidden="false" customHeight="true" outlineLevel="4" collapsed="false">
      <c r="A47" s="57" t="s">
        <v>83</v>
      </c>
      <c r="B47" s="58" t="n">
        <f aca="false">D47+S47</f>
        <v>-123000</v>
      </c>
      <c r="C47" s="58"/>
      <c r="D47" s="62" t="n">
        <f aca="false">SUM(E47:Q47)</f>
        <v>-123000</v>
      </c>
      <c r="E47" s="62"/>
      <c r="F47" s="62" t="n">
        <v>-123000</v>
      </c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S47" s="62"/>
    </row>
    <row r="48" customFormat="false" ht="12.75" hidden="false" customHeight="true" outlineLevel="4" collapsed="false">
      <c r="A48" s="57" t="s">
        <v>84</v>
      </c>
      <c r="B48" s="58" t="n">
        <f aca="false">D48+S48</f>
        <v>0</v>
      </c>
      <c r="C48" s="58"/>
      <c r="D48" s="62" t="n">
        <f aca="false">SUM(E48:M48)+O48+P48+Q48</f>
        <v>0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S48" s="62" t="n">
        <f aca="false">+'[3]AUG_YTD '!$H$46</f>
        <v>0</v>
      </c>
    </row>
    <row r="49" customFormat="false" ht="12.75" hidden="false" customHeight="true" outlineLevel="4" collapsed="false">
      <c r="A49" s="57" t="s">
        <v>107</v>
      </c>
      <c r="B49" s="58" t="n">
        <f aca="false">D49+S49</f>
        <v>0</v>
      </c>
      <c r="C49" s="58"/>
      <c r="D49" s="62" t="n">
        <f aca="false">SUM(E49:Q49)</f>
        <v>0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S49" s="75"/>
    </row>
    <row r="50" customFormat="false" ht="12.75" hidden="false" customHeight="true" outlineLevel="3" collapsed="false">
      <c r="A50" s="57" t="s">
        <v>86</v>
      </c>
      <c r="B50" s="72" t="n">
        <f aca="false">SUM(B45:B49)</f>
        <v>27000</v>
      </c>
      <c r="C50" s="58"/>
      <c r="D50" s="72" t="n">
        <f aca="false">SUM(D45:D49)</f>
        <v>27000</v>
      </c>
      <c r="E50" s="72" t="n">
        <f aca="false">SUM(E45:E49)</f>
        <v>0</v>
      </c>
      <c r="F50" s="72" t="n">
        <f aca="false">SUM(F45:F49)</f>
        <v>27000</v>
      </c>
      <c r="G50" s="72" t="n">
        <f aca="false">SUM(G45:G49)</f>
        <v>0</v>
      </c>
      <c r="H50" s="72" t="n">
        <f aca="false">SUM(H45:H49)</f>
        <v>0</v>
      </c>
      <c r="I50" s="72" t="n">
        <f aca="false">SUM(I45:I49)</f>
        <v>0</v>
      </c>
      <c r="J50" s="72" t="n">
        <f aca="false">SUM(J45:J49)</f>
        <v>0</v>
      </c>
      <c r="K50" s="72" t="n">
        <f aca="false">SUM(K45:K49)</f>
        <v>0</v>
      </c>
      <c r="L50" s="72" t="n">
        <f aca="false">SUM(L45:L49)</f>
        <v>0</v>
      </c>
      <c r="M50" s="72" t="n">
        <f aca="false">SUM(M45:M49)</f>
        <v>0</v>
      </c>
      <c r="N50" s="72"/>
      <c r="O50" s="72" t="n">
        <f aca="false">SUM(O45:O49)</f>
        <v>0</v>
      </c>
      <c r="P50" s="72" t="n">
        <f aca="false">SUM(P45:P49)</f>
        <v>0</v>
      </c>
      <c r="Q50" s="72" t="n">
        <f aca="false">SUM(Q45:Q49)</f>
        <v>0</v>
      </c>
      <c r="S50" s="72" t="n">
        <f aca="false">SUM(S45:S49)</f>
        <v>0</v>
      </c>
    </row>
    <row r="51" customFormat="false" ht="12.75" hidden="false" customHeight="true" outlineLevel="3" collapsed="false">
      <c r="A51" s="57"/>
      <c r="B51" s="71"/>
      <c r="C51" s="58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S51" s="71"/>
    </row>
    <row r="52" customFormat="false" ht="12.75" hidden="false" customHeight="true" outlineLevel="2" collapsed="false">
      <c r="A52" s="57" t="s">
        <v>87</v>
      </c>
      <c r="B52" s="71" t="n">
        <f aca="false">B33+B42+B50</f>
        <v>191112.92</v>
      </c>
      <c r="C52" s="58"/>
      <c r="D52" s="71" t="n">
        <f aca="false">D33+D42+D50</f>
        <v>192812.231</v>
      </c>
      <c r="E52" s="71" t="n">
        <f aca="false">E33+E42+E50</f>
        <v>62819.635</v>
      </c>
      <c r="F52" s="71" t="n">
        <f aca="false">F33+F42+F50</f>
        <v>40208.041</v>
      </c>
      <c r="G52" s="71" t="n">
        <f aca="false">G33+G42+G50</f>
        <v>0</v>
      </c>
      <c r="H52" s="71" t="n">
        <f aca="false">H33+H42+H50</f>
        <v>-1358.713</v>
      </c>
      <c r="I52" s="71" t="n">
        <f aca="false">I33+I42+I50</f>
        <v>0.585000000000001</v>
      </c>
      <c r="J52" s="71" t="n">
        <f aca="false">J33+J42+J50</f>
        <v>1082.424</v>
      </c>
      <c r="K52" s="71" t="n">
        <f aca="false">K33+K42+K50</f>
        <v>-510.934</v>
      </c>
      <c r="L52" s="71" t="n">
        <f aca="false">L33+L42+L50</f>
        <v>-32346</v>
      </c>
      <c r="M52" s="71" t="n">
        <f aca="false">M33+M42+M50</f>
        <v>0</v>
      </c>
      <c r="N52" s="71" t="n">
        <f aca="false">M52+L52</f>
        <v>-32346</v>
      </c>
      <c r="O52" s="71" t="n">
        <f aca="false">O33+O42+O50</f>
        <v>34002.146</v>
      </c>
      <c r="P52" s="71" t="n">
        <f aca="false">P33+P42+P50</f>
        <v>89002.894</v>
      </c>
      <c r="Q52" s="71" t="n">
        <f aca="false">Q33+Q42+Q50</f>
        <v>-87.847</v>
      </c>
      <c r="S52" s="71" t="n">
        <f aca="false">S33+S42+S50</f>
        <v>-1699.311</v>
      </c>
    </row>
    <row r="53" customFormat="false" ht="12.75" hidden="false" customHeight="true" outlineLevel="2" collapsed="false">
      <c r="A53" s="57"/>
      <c r="B53" s="71"/>
      <c r="C53" s="58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S53" s="71"/>
    </row>
    <row r="54" customFormat="false" ht="12.75" hidden="false" customHeight="true" outlineLevel="2" collapsed="false">
      <c r="A54" s="57" t="s">
        <v>88</v>
      </c>
      <c r="B54" s="63" t="n">
        <f aca="false">D54+S54</f>
        <v>3616</v>
      </c>
      <c r="C54" s="58"/>
      <c r="D54" s="64" t="n">
        <f aca="false">SUM(E54:M54)+O54+P54+Q54</f>
        <v>6</v>
      </c>
      <c r="E54" s="77" t="n">
        <v>1</v>
      </c>
      <c r="F54" s="77" t="n">
        <v>0</v>
      </c>
      <c r="G54" s="77" t="n">
        <v>0</v>
      </c>
      <c r="H54" s="77" t="n">
        <v>0</v>
      </c>
      <c r="I54" s="77" t="n">
        <v>0</v>
      </c>
      <c r="J54" s="77" t="n">
        <v>0</v>
      </c>
      <c r="K54" s="77" t="n">
        <v>0</v>
      </c>
      <c r="L54" s="81" t="n">
        <v>0</v>
      </c>
      <c r="M54" s="81" t="n">
        <v>0</v>
      </c>
      <c r="N54" s="77" t="n">
        <v>0</v>
      </c>
      <c r="O54" s="77" t="n">
        <v>0</v>
      </c>
      <c r="P54" s="77" t="n">
        <v>0</v>
      </c>
      <c r="Q54" s="77" t="n">
        <v>5</v>
      </c>
      <c r="S54" s="77" t="n">
        <f aca="false">+'[3]AUG_YTD '!$J$50</f>
        <v>3610</v>
      </c>
    </row>
    <row r="55" customFormat="false" ht="12.75" hidden="false" customHeight="true" outlineLevel="2" collapsed="false">
      <c r="A55" s="57"/>
      <c r="B55" s="58"/>
      <c r="C55" s="58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S55" s="73"/>
    </row>
    <row r="56" customFormat="false" ht="12.75" hidden="false" customHeight="true" outlineLevel="1" collapsed="false">
      <c r="A56" s="57" t="s">
        <v>89</v>
      </c>
      <c r="B56" s="74" t="n">
        <f aca="false">B52-B54</f>
        <v>187496.92</v>
      </c>
      <c r="C56" s="58"/>
      <c r="D56" s="74" t="n">
        <f aca="false">D52-D54</f>
        <v>192806.231</v>
      </c>
      <c r="E56" s="74" t="n">
        <f aca="false">E52-E54</f>
        <v>62818.635</v>
      </c>
      <c r="F56" s="74" t="n">
        <f aca="false">F52-F54</f>
        <v>40208.041</v>
      </c>
      <c r="G56" s="74" t="n">
        <f aca="false">G52-G54</f>
        <v>0</v>
      </c>
      <c r="H56" s="74" t="n">
        <f aca="false">H52-H54</f>
        <v>-1358.713</v>
      </c>
      <c r="I56" s="74" t="n">
        <f aca="false">I52-I54</f>
        <v>0.585000000000001</v>
      </c>
      <c r="J56" s="74" t="n">
        <f aca="false">J52-J54</f>
        <v>1082.424</v>
      </c>
      <c r="K56" s="74" t="n">
        <f aca="false">K52-K54</f>
        <v>-510.934</v>
      </c>
      <c r="L56" s="74" t="n">
        <f aca="false">L52-L54</f>
        <v>-32346</v>
      </c>
      <c r="M56" s="74" t="n">
        <f aca="false">M52-M54</f>
        <v>0</v>
      </c>
      <c r="N56" s="74" t="n">
        <f aca="false">N52-N54</f>
        <v>-32346</v>
      </c>
      <c r="O56" s="74" t="n">
        <f aca="false">O52-O54</f>
        <v>34002.146</v>
      </c>
      <c r="P56" s="74" t="n">
        <f aca="false">P52-P54</f>
        <v>89002.894</v>
      </c>
      <c r="Q56" s="74" t="n">
        <f aca="false">Q52-Q54</f>
        <v>-92.847</v>
      </c>
      <c r="S56" s="74" t="n">
        <f aca="false">S52-S54</f>
        <v>-5309.311</v>
      </c>
    </row>
    <row r="57" customFormat="false" ht="12.75" hidden="false" customHeight="true" outlineLevel="1" collapsed="false">
      <c r="B57" s="42"/>
      <c r="C57" s="42"/>
    </row>
    <row r="58" customFormat="false" ht="12.75" hidden="false" customHeight="true" outlineLevel="0" collapsed="false">
      <c r="A58" s="40" t="s">
        <v>90</v>
      </c>
      <c r="B58" s="64" t="n">
        <f aca="false">D58+S58</f>
        <v>-27053</v>
      </c>
      <c r="C58" s="42"/>
      <c r="D58" s="64" t="n">
        <f aca="false">SUM(E58:Q58)</f>
        <v>-27053</v>
      </c>
      <c r="E58" s="77" t="n">
        <v>-52</v>
      </c>
      <c r="F58" s="77" t="n">
        <v>-27000</v>
      </c>
      <c r="G58" s="77" t="n">
        <v>0</v>
      </c>
      <c r="H58" s="77" t="n">
        <v>0</v>
      </c>
      <c r="I58" s="77" t="n">
        <v>-1512</v>
      </c>
      <c r="J58" s="77" t="n">
        <v>7357</v>
      </c>
      <c r="K58" s="77" t="n">
        <v>-5846</v>
      </c>
      <c r="L58" s="81" t="n">
        <v>0</v>
      </c>
      <c r="M58" s="81" t="n">
        <v>0</v>
      </c>
      <c r="N58" s="77" t="n">
        <v>0</v>
      </c>
      <c r="O58" s="77" t="n">
        <v>0</v>
      </c>
      <c r="P58" s="77" t="n">
        <v>0</v>
      </c>
      <c r="Q58" s="77" t="n">
        <v>0</v>
      </c>
      <c r="S58" s="77" t="n">
        <f aca="false">+'[3]AUG_YTD '!$J$54</f>
        <v>0</v>
      </c>
    </row>
    <row r="59" customFormat="false" ht="12.75" hidden="false" customHeight="true" outlineLevel="0" collapsed="false">
      <c r="B59" s="42"/>
      <c r="C59" s="42"/>
    </row>
    <row r="60" customFormat="false" ht="12.75" hidden="false" customHeight="true" outlineLevel="0" collapsed="false">
      <c r="A60" s="40" t="s">
        <v>91</v>
      </c>
      <c r="B60" s="74" t="n">
        <f aca="false">B56+B58</f>
        <v>160443.92</v>
      </c>
      <c r="C60" s="42"/>
      <c r="D60" s="74" t="n">
        <f aca="false">D56+D58</f>
        <v>165753.231</v>
      </c>
      <c r="E60" s="74" t="n">
        <f aca="false">E56+E58</f>
        <v>62766.635</v>
      </c>
      <c r="F60" s="74" t="n">
        <f aca="false">F56+F58</f>
        <v>13208.041</v>
      </c>
      <c r="G60" s="74" t="n">
        <f aca="false">G56+G58</f>
        <v>0</v>
      </c>
      <c r="H60" s="74" t="n">
        <f aca="false">H56+H58</f>
        <v>-1358.713</v>
      </c>
      <c r="I60" s="74" t="n">
        <f aca="false">I56+I58</f>
        <v>-1511.415</v>
      </c>
      <c r="J60" s="74" t="n">
        <f aca="false">J56+J58</f>
        <v>8439.424</v>
      </c>
      <c r="K60" s="74" t="n">
        <f aca="false">K56+K58</f>
        <v>-6356.934</v>
      </c>
      <c r="L60" s="74" t="n">
        <f aca="false">L56+L58</f>
        <v>-32346</v>
      </c>
      <c r="M60" s="74" t="n">
        <f aca="false">M56+M58</f>
        <v>0</v>
      </c>
      <c r="N60" s="74" t="n">
        <f aca="false">M60+L60</f>
        <v>-32346</v>
      </c>
      <c r="O60" s="74" t="n">
        <f aca="false">O56+O58</f>
        <v>34002.146</v>
      </c>
      <c r="P60" s="74" t="n">
        <f aca="false">P56+P58</f>
        <v>89002.894</v>
      </c>
      <c r="Q60" s="74" t="n">
        <f aca="false">Q56-Q58</f>
        <v>-92.847</v>
      </c>
      <c r="S60" s="74" t="n">
        <f aca="false">S56+S58</f>
        <v>-5309.311</v>
      </c>
    </row>
    <row r="61" customFormat="false" ht="12.75" hidden="false" customHeight="true" outlineLevel="0" collapsed="false">
      <c r="B61" s="42"/>
      <c r="C61" s="42"/>
    </row>
    <row r="62" customFormat="false" ht="12.75" hidden="false" customHeight="true" outlineLevel="0" collapsed="false">
      <c r="B62" s="42"/>
      <c r="C62" s="42"/>
    </row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509722222222222" bottom="0.27986111111111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76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N22" activeCellId="0" sqref="N22"/>
    </sheetView>
  </sheetViews>
  <sheetFormatPr defaultColWidth="8.9921875" defaultRowHeight="12.75" customHeight="true" zeroHeight="false" outlineLevelRow="4" outlineLevelCol="0"/>
  <cols>
    <col collapsed="false" customWidth="true" hidden="false" outlineLevel="0" max="1" min="1" style="40" width="67.99"/>
    <col collapsed="false" customWidth="true" hidden="false" outlineLevel="0" max="2" min="2" style="40" width="14.49"/>
    <col collapsed="false" customWidth="true" hidden="false" outlineLevel="0" max="3" min="3" style="40" width="1.82"/>
    <col collapsed="false" customWidth="true" hidden="false" outlineLevel="0" max="4" min="4" style="40" width="11.82"/>
    <col collapsed="false" customWidth="true" hidden="false" outlineLevel="0" max="5" min="5" style="40" width="11.65"/>
    <col collapsed="false" customWidth="true" hidden="false" outlineLevel="0" max="6" min="6" style="40" width="10.82"/>
    <col collapsed="false" customWidth="true" hidden="false" outlineLevel="0" max="7" min="7" style="40" width="12.82"/>
    <col collapsed="false" customWidth="true" hidden="false" outlineLevel="0" max="11" min="8" style="40" width="10.82"/>
    <col collapsed="false" customWidth="true" hidden="true" outlineLevel="0" max="13" min="12" style="40" width="10.82"/>
    <col collapsed="false" customWidth="true" hidden="false" outlineLevel="0" max="16" min="14" style="40" width="12.16"/>
    <col collapsed="false" customWidth="true" hidden="false" outlineLevel="0" max="17" min="17" style="40" width="10.82"/>
    <col collapsed="false" customWidth="true" hidden="false" outlineLevel="0" max="18" min="18" style="40" width="3.65"/>
    <col collapsed="false" customWidth="true" hidden="false" outlineLevel="0" max="19" min="19" style="40" width="9.82"/>
    <col collapsed="false" customWidth="false" hidden="false" outlineLevel="0" max="257" min="20" style="40" width="8.99"/>
  </cols>
  <sheetData>
    <row r="1" customFormat="false" ht="12.75" hidden="false" customHeight="true" outlineLevel="0" collapsed="false">
      <c r="A1" s="41" t="s">
        <v>18</v>
      </c>
      <c r="B1" s="42"/>
      <c r="C1" s="42"/>
      <c r="D1" s="42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customFormat="false" ht="12.75" hidden="false" customHeight="true" outlineLevel="0" collapsed="false">
      <c r="A2" s="44" t="s">
        <v>19</v>
      </c>
      <c r="D2" s="45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customFormat="false" ht="12.75" hidden="false" customHeight="true" outlineLevel="0" collapsed="false">
      <c r="A3" s="47" t="s">
        <v>111</v>
      </c>
      <c r="B3" s="42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</row>
    <row r="4" customFormat="false" ht="12.75" hidden="false" customHeight="true" outlineLevel="0" collapsed="false">
      <c r="A4" s="42"/>
      <c r="B4" s="49" t="s">
        <v>97</v>
      </c>
      <c r="C4" s="50"/>
      <c r="D4" s="51"/>
      <c r="I4" s="52" t="s">
        <v>98</v>
      </c>
      <c r="J4" s="52" t="s">
        <v>28</v>
      </c>
      <c r="K4" s="52" t="s">
        <v>29</v>
      </c>
      <c r="L4" s="52" t="s">
        <v>30</v>
      </c>
      <c r="M4" s="52" t="s">
        <v>31</v>
      </c>
      <c r="N4" s="52" t="s">
        <v>30</v>
      </c>
      <c r="O4" s="52" t="s">
        <v>32</v>
      </c>
      <c r="P4" s="52" t="s">
        <v>99</v>
      </c>
      <c r="S4" s="53" t="s">
        <v>21</v>
      </c>
    </row>
    <row r="5" customFormat="false" ht="12.75" hidden="false" customHeight="true" outlineLevel="0" collapsed="false">
      <c r="A5" s="54" t="s">
        <v>34</v>
      </c>
      <c r="B5" s="55" t="s">
        <v>100</v>
      </c>
      <c r="C5" s="52"/>
      <c r="D5" s="51" t="s">
        <v>35</v>
      </c>
      <c r="E5" s="51" t="s">
        <v>22</v>
      </c>
      <c r="F5" s="51" t="s">
        <v>23</v>
      </c>
      <c r="G5" s="51" t="s">
        <v>24</v>
      </c>
      <c r="H5" s="51" t="s">
        <v>25</v>
      </c>
      <c r="I5" s="51" t="n">
        <v>543</v>
      </c>
      <c r="J5" s="51" t="n">
        <v>584</v>
      </c>
      <c r="K5" s="51" t="n">
        <v>583</v>
      </c>
      <c r="L5" s="51" t="s">
        <v>36</v>
      </c>
      <c r="M5" s="51"/>
      <c r="N5" s="51" t="s">
        <v>37</v>
      </c>
      <c r="O5" s="51" t="s">
        <v>38</v>
      </c>
      <c r="P5" s="51" t="s">
        <v>101</v>
      </c>
      <c r="Q5" s="51" t="s">
        <v>33</v>
      </c>
      <c r="S5" s="56" t="s">
        <v>102</v>
      </c>
    </row>
    <row r="6" customFormat="false" ht="12.75" hidden="false" customHeight="true" outlineLevel="2" collapsed="false">
      <c r="A6" s="57"/>
      <c r="B6" s="58"/>
      <c r="C6" s="58"/>
      <c r="D6" s="59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</row>
    <row r="7" customFormat="false" ht="12.75" hidden="false" customHeight="true" outlineLevel="4" collapsed="false">
      <c r="A7" s="61" t="s">
        <v>39</v>
      </c>
      <c r="B7" s="58"/>
      <c r="C7" s="58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</row>
    <row r="8" customFormat="false" ht="12.75" hidden="false" customHeight="true" outlineLevel="4" collapsed="false">
      <c r="A8" s="57" t="s">
        <v>40</v>
      </c>
      <c r="B8" s="58" t="n">
        <f aca="false">D8+S8</f>
        <v>16040.163</v>
      </c>
      <c r="C8" s="58"/>
      <c r="D8" s="62" t="n">
        <f aca="false">SUM(E8:M8)+O8+P8+Q8</f>
        <v>13846.033</v>
      </c>
      <c r="E8" s="62" t="n">
        <f aca="false">'JULYYTD '!E8-JUNEYTD!E8</f>
        <v>2320.71399999998</v>
      </c>
      <c r="F8" s="62" t="n">
        <f aca="false">'JULYYTD '!F8-JUNEYTD!F8</f>
        <v>7388.39100000001</v>
      </c>
      <c r="G8" s="62" t="n">
        <f aca="false">'JULYYTD '!G8-JUNEYTD!G8</f>
        <v>2905.194</v>
      </c>
      <c r="H8" s="62" t="n">
        <f aca="false">'JULYYTD '!H8-JUNEYTD!H8</f>
        <v>289.031</v>
      </c>
      <c r="I8" s="62" t="n">
        <f aca="false">'JULYYTD '!I8-JUNEYTD!I8</f>
        <v>1.916</v>
      </c>
      <c r="J8" s="62" t="n">
        <f aca="false">'JULYYTD '!J8-JUNEYTD!J8</f>
        <v>285.985</v>
      </c>
      <c r="K8" s="62" t="n">
        <f aca="false">'JULYYTD '!K8-JUNEYTD!K8</f>
        <v>-7.37300000000015</v>
      </c>
      <c r="L8" s="62" t="n">
        <f aca="false">'JULYYTD '!L8-JUNEYTD!L8</f>
        <v>0.400999999999948</v>
      </c>
      <c r="M8" s="62" t="n">
        <f aca="false">'JULYYTD '!M8-JUNEYTD!M8</f>
        <v>0</v>
      </c>
      <c r="N8" s="62" t="n">
        <f aca="false">M8+L8</f>
        <v>0.400999999999948</v>
      </c>
      <c r="O8" s="62" t="n">
        <f aca="false">'JULYYTD '!O8-JUNEYTD!O8</f>
        <v>829.638</v>
      </c>
      <c r="P8" s="62" t="n">
        <f aca="false">'JULYYTD '!P8-JUNEYTD!P8</f>
        <v>-25.954</v>
      </c>
      <c r="Q8" s="62" t="n">
        <f aca="false">'JULYYTD '!Q8-JUNEYTD!Q8</f>
        <v>-141.91</v>
      </c>
      <c r="S8" s="62" t="n">
        <f aca="false">'JULYYTD '!S8-JUNEYTD!S8</f>
        <v>2194.13</v>
      </c>
    </row>
    <row r="9" customFormat="false" ht="12.75" hidden="false" customHeight="true" outlineLevel="4" collapsed="false">
      <c r="A9" s="57" t="s">
        <v>41</v>
      </c>
      <c r="B9" s="63" t="n">
        <f aca="false">D9+S9</f>
        <v>4020.147</v>
      </c>
      <c r="C9" s="58"/>
      <c r="D9" s="64" t="n">
        <f aca="false">SUM(E9:M9)+O9+P9+Q9</f>
        <v>4030.659</v>
      </c>
      <c r="E9" s="64" t="n">
        <f aca="false">'JULYYTD '!E9-JUNEYTD!E9</f>
        <v>-1158.529</v>
      </c>
      <c r="F9" s="64" t="n">
        <f aca="false">'JULYYTD '!F9-JUNEYTD!F9</f>
        <v>405.347</v>
      </c>
      <c r="G9" s="64" t="n">
        <f aca="false">'JULYYTD '!G9-JUNEYTD!G9</f>
        <v>0</v>
      </c>
      <c r="H9" s="64" t="n">
        <f aca="false">'JULYYTD '!H9-JUNEYTD!H9</f>
        <v>585.314</v>
      </c>
      <c r="I9" s="64" t="n">
        <f aca="false">'JULYYTD '!I9-JUNEYTD!I9</f>
        <v>0</v>
      </c>
      <c r="J9" s="64" t="n">
        <f aca="false">'JULYYTD '!J9-JUNEYTD!J9</f>
        <v>-29.593</v>
      </c>
      <c r="K9" s="64" t="n">
        <f aca="false">'JULYYTD '!K9-JUNEYTD!K9</f>
        <v>0</v>
      </c>
      <c r="L9" s="64" t="n">
        <f aca="false">'JULYYTD '!L9-JUNEYTD!L9</f>
        <v>0</v>
      </c>
      <c r="M9" s="64" t="n">
        <f aca="false">'JULYYTD '!M9-JUNEYTD!M9</f>
        <v>0</v>
      </c>
      <c r="N9" s="64" t="n">
        <f aca="false">M9+L9</f>
        <v>0</v>
      </c>
      <c r="O9" s="64" t="n">
        <f aca="false">'JULYYTD '!O9-JUNEYTD!O9</f>
        <v>4228.12</v>
      </c>
      <c r="P9" s="64" t="n">
        <f aca="false">'JULYYTD '!P9-JUNEYTD!P9</f>
        <v>-0</v>
      </c>
      <c r="Q9" s="64" t="n">
        <f aca="false">'JULYYTD '!Q9-JUNEYTD!Q9</f>
        <v>0</v>
      </c>
      <c r="S9" s="64" t="n">
        <f aca="false">'JULYYTD '!S9-JUNEYTD!S9</f>
        <v>-10.512</v>
      </c>
    </row>
    <row r="10" customFormat="false" ht="12.75" hidden="false" customHeight="true" outlineLevel="4" collapsed="false">
      <c r="A10" s="57" t="s">
        <v>42</v>
      </c>
      <c r="B10" s="65" t="n">
        <f aca="false">B8+B9</f>
        <v>20060.31</v>
      </c>
      <c r="C10" s="58"/>
      <c r="D10" s="65" t="n">
        <f aca="false">D8+D9</f>
        <v>17876.692</v>
      </c>
      <c r="E10" s="65" t="n">
        <f aca="false">E8+E9</f>
        <v>1162.18499999998</v>
      </c>
      <c r="F10" s="65" t="n">
        <f aca="false">F8+F9</f>
        <v>7793.73800000001</v>
      </c>
      <c r="G10" s="65" t="n">
        <f aca="false">G8+G9</f>
        <v>2905.194</v>
      </c>
      <c r="H10" s="65" t="n">
        <f aca="false">H8+H9</f>
        <v>874.344999999999</v>
      </c>
      <c r="I10" s="65" t="n">
        <f aca="false">I8+I9</f>
        <v>1.916</v>
      </c>
      <c r="J10" s="65" t="n">
        <f aca="false">J8+J9</f>
        <v>256.392</v>
      </c>
      <c r="K10" s="65" t="n">
        <f aca="false">K8+K9</f>
        <v>-7.37300000000015</v>
      </c>
      <c r="L10" s="65" t="n">
        <f aca="false">L8+L9</f>
        <v>0.400999999999948</v>
      </c>
      <c r="M10" s="65" t="n">
        <f aca="false">M8+M9</f>
        <v>0</v>
      </c>
      <c r="N10" s="65" t="n">
        <f aca="false">N8</f>
        <v>0.400999999999948</v>
      </c>
      <c r="O10" s="65" t="n">
        <f aca="false">O8+O9</f>
        <v>5057.758</v>
      </c>
      <c r="P10" s="65" t="n">
        <f aca="false">P8+P9</f>
        <v>-25.954</v>
      </c>
      <c r="Q10" s="65" t="n">
        <f aca="false">Q8+Q9</f>
        <v>-141.91</v>
      </c>
      <c r="S10" s="65" t="n">
        <f aca="false">S8+S9</f>
        <v>2183.618</v>
      </c>
    </row>
    <row r="11" customFormat="false" ht="12.75" hidden="false" customHeight="true" outlineLevel="4" collapsed="false">
      <c r="A11" s="57"/>
      <c r="B11" s="65"/>
      <c r="C11" s="58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S11" s="65"/>
    </row>
    <row r="12" customFormat="false" ht="12.75" hidden="false" customHeight="true" outlineLevel="4" collapsed="false">
      <c r="A12" s="57" t="s">
        <v>43</v>
      </c>
      <c r="B12" s="58" t="n">
        <f aca="false">D12+S12</f>
        <v>5502.969</v>
      </c>
      <c r="C12" s="58"/>
      <c r="D12" s="62" t="n">
        <f aca="false">SUM(E12:M12)+O12+P12+Q12</f>
        <v>5502.969</v>
      </c>
      <c r="E12" s="62" t="n">
        <f aca="false">'JULYYTD '!E12-JUNEYTD!E12</f>
        <v>4024.461</v>
      </c>
      <c r="F12" s="62" t="n">
        <f aca="false">'JULYYTD '!F12-JUNEYTD!F12</f>
        <v>1478.508</v>
      </c>
      <c r="G12" s="62" t="n">
        <f aca="false">'JULYYTD '!G12-JUNEYTD!G12</f>
        <v>0</v>
      </c>
      <c r="H12" s="62" t="n">
        <f aca="false">'JULYYTD '!H12-JUNEYTD!H12</f>
        <v>0</v>
      </c>
      <c r="I12" s="62" t="n">
        <f aca="false">'JULYYTD '!I12-JUNEYTD!I12</f>
        <v>0</v>
      </c>
      <c r="J12" s="62" t="n">
        <f aca="false">'JULYYTD '!J12-JUNEYTD!J12</f>
        <v>0</v>
      </c>
      <c r="K12" s="62" t="n">
        <f aca="false">'JULYYTD '!K12-JUNEYTD!K12</f>
        <v>0</v>
      </c>
      <c r="L12" s="62" t="n">
        <f aca="false">'JULYYTD '!L12-JUNEYTD!L12</f>
        <v>0</v>
      </c>
      <c r="M12" s="62" t="n">
        <f aca="false">'JULYYTD '!M12-JUNEYTD!M12</f>
        <v>0</v>
      </c>
      <c r="N12" s="62" t="n">
        <f aca="false">M12+L12</f>
        <v>0</v>
      </c>
      <c r="O12" s="62" t="n">
        <f aca="false">'JULYYTD '!O12-JUNEYTD!O12</f>
        <v>0</v>
      </c>
      <c r="P12" s="62" t="n">
        <f aca="false">'JULYYTD '!P12-JUNEYTD!P12</f>
        <v>0</v>
      </c>
      <c r="Q12" s="62" t="n">
        <f aca="false">'JULYYTD '!Q12-JUNEYTD!Q12</f>
        <v>0</v>
      </c>
      <c r="S12" s="62" t="n">
        <f aca="false">'JULYYTD '!S12-JUNEYTD!S12</f>
        <v>0</v>
      </c>
    </row>
    <row r="13" customFormat="false" ht="12.75" hidden="false" customHeight="true" outlineLevel="4" collapsed="false">
      <c r="A13" s="57" t="s">
        <v>45</v>
      </c>
      <c r="B13" s="58" t="n">
        <f aca="false">D13+S13</f>
        <v>-1648.961</v>
      </c>
      <c r="C13" s="58"/>
      <c r="D13" s="62" t="n">
        <f aca="false">SUM(E13:M13)+O13+P13+Q13</f>
        <v>-922.809</v>
      </c>
      <c r="E13" s="62" t="n">
        <f aca="false">'JULYYTD '!E13-JUNEYTD!E13</f>
        <v>-301.587</v>
      </c>
      <c r="F13" s="62" t="n">
        <f aca="false">'JULYYTD '!F13-JUNEYTD!F13</f>
        <v>155.941</v>
      </c>
      <c r="G13" s="62" t="n">
        <f aca="false">'JULYYTD '!G13-JUNEYTD!G13</f>
        <v>0</v>
      </c>
      <c r="H13" s="62" t="n">
        <f aca="false">'JULYYTD '!H13-JUNEYTD!H13</f>
        <v>30.431</v>
      </c>
      <c r="I13" s="62" t="n">
        <f aca="false">'JULYYTD '!I13-JUNEYTD!I13</f>
        <v>0</v>
      </c>
      <c r="J13" s="62" t="n">
        <f aca="false">'JULYYTD '!J13-JUNEYTD!J13</f>
        <v>0</v>
      </c>
      <c r="K13" s="62" t="n">
        <f aca="false">'JULYYTD '!K13-JUNEYTD!K13</f>
        <v>-0.607</v>
      </c>
      <c r="L13" s="62" t="n">
        <f aca="false">'JULYYTD '!L13-JUNEYTD!L13</f>
        <v>-806.987</v>
      </c>
      <c r="M13" s="62" t="n">
        <f aca="false">'JULYYTD '!M13-JUNEYTD!M13</f>
        <v>0</v>
      </c>
      <c r="N13" s="62" t="n">
        <f aca="false">M13+L13</f>
        <v>-806.987</v>
      </c>
      <c r="O13" s="62" t="n">
        <f aca="false">'JULYYTD '!O13-JUNEYTD!O13</f>
        <v>0</v>
      </c>
      <c r="P13" s="62" t="n">
        <f aca="false">'JULYYTD '!P13-JUNEYTD!P13</f>
        <v>0</v>
      </c>
      <c r="Q13" s="62" t="n">
        <f aca="false">'JULYYTD '!Q13-JUNEYTD!Q13</f>
        <v>0</v>
      </c>
      <c r="S13" s="62" t="n">
        <f aca="false">'JULYYTD '!S13-JUNEYTD!S13</f>
        <v>-726.152</v>
      </c>
    </row>
    <row r="14" customFormat="false" ht="12.75" hidden="false" customHeight="true" outlineLevel="4" collapsed="false">
      <c r="A14" s="57" t="s">
        <v>47</v>
      </c>
      <c r="B14" s="58" t="n">
        <f aca="false">D14+S14</f>
        <v>967.953</v>
      </c>
      <c r="C14" s="58"/>
      <c r="D14" s="62" t="n">
        <f aca="false">SUM(E14:M14)+O14+P14+Q14</f>
        <v>967.953</v>
      </c>
      <c r="E14" s="62" t="n">
        <f aca="false">'JULYYTD '!E14-JUNEYTD!E14</f>
        <v>967.953</v>
      </c>
      <c r="F14" s="62" t="n">
        <f aca="false">'JULYYTD '!F14-JUNEYTD!F14</f>
        <v>0</v>
      </c>
      <c r="G14" s="62" t="n">
        <f aca="false">'JULYYTD '!G14-JUNEYTD!G14</f>
        <v>0</v>
      </c>
      <c r="H14" s="62" t="n">
        <f aca="false">'JULYYTD '!H14-JUNEYTD!H14</f>
        <v>0</v>
      </c>
      <c r="I14" s="62" t="n">
        <f aca="false">'JULYYTD '!I14-JUNEYTD!I14</f>
        <v>0</v>
      </c>
      <c r="J14" s="62" t="n">
        <f aca="false">'JULYYTD '!J14-JUNEYTD!J14</f>
        <v>0</v>
      </c>
      <c r="K14" s="62" t="n">
        <f aca="false">'JULYYTD '!K14-JUNEYTD!K14</f>
        <v>0</v>
      </c>
      <c r="L14" s="62" t="n">
        <f aca="false">'JULYYTD '!L14-JUNEYTD!L14</f>
        <v>0</v>
      </c>
      <c r="M14" s="62" t="n">
        <f aca="false">'JULYYTD '!M14-JUNEYTD!M14</f>
        <v>0</v>
      </c>
      <c r="N14" s="62" t="n">
        <f aca="false">M14+L14</f>
        <v>0</v>
      </c>
      <c r="O14" s="62" t="n">
        <f aca="false">'JULYYTD '!O14-JUNEYTD!O14</f>
        <v>0</v>
      </c>
      <c r="P14" s="62" t="n">
        <f aca="false">'JULYYTD '!P14-JUNEYTD!P14</f>
        <v>-0</v>
      </c>
      <c r="Q14" s="62" t="n">
        <f aca="false">'JULYYTD '!Q14-JUNEYTD!Q14</f>
        <v>0</v>
      </c>
      <c r="S14" s="62" t="n">
        <f aca="false">'JULYYTD '!S14-JUNEYTD!S14</f>
        <v>0</v>
      </c>
    </row>
    <row r="15" customFormat="false" ht="12.75" hidden="false" customHeight="true" outlineLevel="4" collapsed="false">
      <c r="A15" s="57" t="s">
        <v>48</v>
      </c>
      <c r="B15" s="58" t="n">
        <f aca="false">D15+S15</f>
        <v>0</v>
      </c>
      <c r="C15" s="58"/>
      <c r="D15" s="62" t="n">
        <f aca="false">SUM(E15:M15)+O15+P15+Q15</f>
        <v>0</v>
      </c>
      <c r="E15" s="62" t="n">
        <f aca="false">'JULYYTD '!E15-JUNEYTD!E15</f>
        <v>0</v>
      </c>
      <c r="F15" s="62" t="n">
        <f aca="false">'JULYYTD '!F15-JUNEYTD!F15</f>
        <v>0</v>
      </c>
      <c r="G15" s="62" t="n">
        <f aca="false">'JULYYTD '!G15-JUNEYTD!G15</f>
        <v>0</v>
      </c>
      <c r="H15" s="62" t="n">
        <f aca="false">'JULYYTD '!H15-JUNEYTD!H15</f>
        <v>0</v>
      </c>
      <c r="I15" s="62" t="n">
        <f aca="false">'JULYYTD '!I15-JUNEYTD!I15</f>
        <v>0</v>
      </c>
      <c r="J15" s="62" t="n">
        <f aca="false">'JULYYTD '!J15-JUNEYTD!J15</f>
        <v>0</v>
      </c>
      <c r="K15" s="62" t="n">
        <f aca="false">'JULYYTD '!K15-JUNEYTD!K15</f>
        <v>0</v>
      </c>
      <c r="L15" s="62" t="n">
        <f aca="false">'JULYYTD '!L15-JUNEYTD!L15</f>
        <v>0</v>
      </c>
      <c r="M15" s="62" t="n">
        <f aca="false">'JULYYTD '!M15-JUNEYTD!M15</f>
        <v>0</v>
      </c>
      <c r="N15" s="62" t="n">
        <f aca="false">M15+L15</f>
        <v>0</v>
      </c>
      <c r="O15" s="62" t="n">
        <f aca="false">'JULYYTD '!O15-JUNEYTD!O15</f>
        <v>0</v>
      </c>
      <c r="P15" s="62" t="n">
        <f aca="false">'JULYYTD '!P15-JUNEYTD!P15</f>
        <v>0</v>
      </c>
      <c r="Q15" s="62" t="n">
        <f aca="false">'JULYYTD '!Q15-JUNEYTD!Q15</f>
        <v>0</v>
      </c>
      <c r="S15" s="62" t="n">
        <f aca="false">'JULYYTD '!S15-JUNEYTD!S15</f>
        <v>0</v>
      </c>
    </row>
    <row r="16" customFormat="false" ht="12.75" hidden="false" customHeight="true" outlineLevel="4" collapsed="false">
      <c r="A16" s="57" t="s">
        <v>51</v>
      </c>
      <c r="B16" s="58" t="n">
        <f aca="false">D16+S16</f>
        <v>-7809.586</v>
      </c>
      <c r="C16" s="58"/>
      <c r="D16" s="62" t="n">
        <f aca="false">SUM(E16:M16)+O16+P16+Q16</f>
        <v>-3795.065</v>
      </c>
      <c r="E16" s="62" t="n">
        <f aca="false">'JULYYTD '!E16-JUNEYTD!E16</f>
        <v>-285.665</v>
      </c>
      <c r="F16" s="62" t="n">
        <f aca="false">'JULYYTD '!F16-JUNEYTD!F16</f>
        <v>0</v>
      </c>
      <c r="G16" s="62" t="n">
        <f aca="false">'JULYYTD '!G16-JUNEYTD!G16</f>
        <v>-2905.194</v>
      </c>
      <c r="H16" s="62" t="n">
        <f aca="false">'JULYYTD '!H16-JUNEYTD!H16</f>
        <v>-604.206</v>
      </c>
      <c r="I16" s="62" t="n">
        <f aca="false">'JULYYTD '!I16-JUNEYTD!I16</f>
        <v>0</v>
      </c>
      <c r="J16" s="62" t="n">
        <f aca="false">'JULYYTD '!J16-JUNEYTD!J16</f>
        <v>0</v>
      </c>
      <c r="K16" s="62" t="n">
        <f aca="false">'JULYYTD '!K16-JUNEYTD!K16</f>
        <v>0</v>
      </c>
      <c r="L16" s="62" t="n">
        <f aca="false">'JULYYTD '!L16-JUNEYTD!L16</f>
        <v>0</v>
      </c>
      <c r="M16" s="62" t="n">
        <f aca="false">'JULYYTD '!M16-JUNEYTD!M16</f>
        <v>0</v>
      </c>
      <c r="N16" s="62" t="n">
        <f aca="false">M16+L16</f>
        <v>0</v>
      </c>
      <c r="O16" s="62" t="n">
        <f aca="false">'JULYYTD '!O16-JUNEYTD!O16</f>
        <v>0</v>
      </c>
      <c r="P16" s="62" t="n">
        <f aca="false">'JULYYTD '!P16-JUNEYTD!P16</f>
        <v>-0</v>
      </c>
      <c r="Q16" s="62" t="n">
        <f aca="false">'JULYYTD '!Q16-JUNEYTD!Q16</f>
        <v>0</v>
      </c>
      <c r="S16" s="62" t="n">
        <f aca="false">'JULYYTD '!S16-JUNEYTD!S16</f>
        <v>-4014.521</v>
      </c>
    </row>
    <row r="17" customFormat="false" ht="12.75" hidden="false" customHeight="true" outlineLevel="4" collapsed="false">
      <c r="A17" s="57" t="s">
        <v>52</v>
      </c>
      <c r="B17" s="58" t="n">
        <f aca="false">D17+S17</f>
        <v>0</v>
      </c>
      <c r="C17" s="58"/>
      <c r="D17" s="62" t="n">
        <f aca="false">SUM(E17:M17)+O17+P17+Q17</f>
        <v>0</v>
      </c>
      <c r="E17" s="62" t="n">
        <f aca="false">'JULYYTD '!E17-JUNEYTD!E17</f>
        <v>0</v>
      </c>
      <c r="F17" s="62" t="n">
        <f aca="false">'JULYYTD '!F17-JUNEYTD!F17</f>
        <v>0</v>
      </c>
      <c r="G17" s="62" t="n">
        <f aca="false">'JULYYTD '!G17-JUNEYTD!G17</f>
        <v>0</v>
      </c>
      <c r="H17" s="62" t="n">
        <f aca="false">'JULYYTD '!H17-JUNEYTD!H17</f>
        <v>0</v>
      </c>
      <c r="I17" s="62" t="n">
        <f aca="false">'JULYYTD '!I17-JUNEYTD!I17</f>
        <v>0</v>
      </c>
      <c r="J17" s="62" t="n">
        <f aca="false">'JULYYTD '!J17-JUNEYTD!J17</f>
        <v>0</v>
      </c>
      <c r="K17" s="62" t="n">
        <f aca="false">'JULYYTD '!K17-JUNEYTD!K17</f>
        <v>0</v>
      </c>
      <c r="L17" s="62" t="n">
        <f aca="false">'JULYYTD '!L17-JUNEYTD!L17</f>
        <v>0</v>
      </c>
      <c r="M17" s="62" t="n">
        <f aca="false">'JULYYTD '!M17-JUNEYTD!M17</f>
        <v>0</v>
      </c>
      <c r="N17" s="62" t="n">
        <f aca="false">M17+L17</f>
        <v>0</v>
      </c>
      <c r="O17" s="62" t="n">
        <f aca="false">'JULYYTD '!O17-JUNEYTD!O17</f>
        <v>0</v>
      </c>
      <c r="P17" s="62" t="n">
        <f aca="false">'JULYYTD '!P17-JUNEYTD!P17</f>
        <v>0</v>
      </c>
      <c r="Q17" s="62" t="n">
        <f aca="false">'JULYYTD '!Q17-JUNEYTD!Q17</f>
        <v>0</v>
      </c>
      <c r="S17" s="62" t="n">
        <f aca="false">'JULYYTD '!S17-JUNEYTD!S17</f>
        <v>0</v>
      </c>
    </row>
    <row r="18" customFormat="false" ht="12.75" hidden="false" customHeight="true" outlineLevel="4" collapsed="false">
      <c r="A18" s="57" t="s">
        <v>53</v>
      </c>
      <c r="B18" s="63" t="n">
        <f aca="false">D18+S18</f>
        <v>-28149</v>
      </c>
      <c r="C18" s="58"/>
      <c r="D18" s="62" t="n">
        <f aca="false">SUM(E18:M18)+O18+P18+Q18</f>
        <v>-28000</v>
      </c>
      <c r="E18" s="62" t="n">
        <f aca="false">'JULYYTD '!E18-JUNEYTD!E18</f>
        <v>-532</v>
      </c>
      <c r="F18" s="62" t="n">
        <f aca="false">'JULYYTD '!F18-JUNEYTD!F18</f>
        <v>429</v>
      </c>
      <c r="G18" s="62" t="n">
        <f aca="false">'JULYYTD '!G18-JUNEYTD!G18</f>
        <v>0</v>
      </c>
      <c r="H18" s="62" t="n">
        <f aca="false">'JULYYTD '!H18-JUNEYTD!H18</f>
        <v>0</v>
      </c>
      <c r="I18" s="62" t="n">
        <f aca="false">'JULYYTD '!I18-JUNEYTD!I18</f>
        <v>0</v>
      </c>
      <c r="J18" s="62" t="n">
        <f aca="false">'JULYYTD '!J18-JUNEYTD!J18</f>
        <v>85</v>
      </c>
      <c r="K18" s="62" t="n">
        <f aca="false">'JULYYTD '!K18-JUNEYTD!K18</f>
        <v>-2</v>
      </c>
      <c r="L18" s="62" t="n">
        <f aca="false">'JULYYTD '!L18-JUNEYTD!L18</f>
        <v>-29177</v>
      </c>
      <c r="M18" s="62" t="n">
        <f aca="false">'JULYYTD '!M18-JUNEYTD!M18</f>
        <v>0</v>
      </c>
      <c r="N18" s="62" t="n">
        <f aca="false">M18+L18</f>
        <v>-29177</v>
      </c>
      <c r="O18" s="62" t="n">
        <f aca="false">'JULYYTD '!O18-JUNEYTD!O18</f>
        <v>1192</v>
      </c>
      <c r="P18" s="62" t="n">
        <f aca="false">'JULYYTD '!P18-JUNEYTD!P18</f>
        <v>0</v>
      </c>
      <c r="Q18" s="62" t="n">
        <f aca="false">'JULYYTD '!Q18-JUNEYTD!Q18</f>
        <v>5</v>
      </c>
      <c r="S18" s="62" t="n">
        <f aca="false">'JULYYTD '!S18-JUNEYTD!S18</f>
        <v>-149</v>
      </c>
    </row>
    <row r="19" customFormat="false" ht="12.75" hidden="false" customHeight="true" outlineLevel="4" collapsed="false">
      <c r="A19" s="57" t="s">
        <v>54</v>
      </c>
      <c r="B19" s="66" t="n">
        <f aca="false">SUM(B10:B18)</f>
        <v>-11076.315</v>
      </c>
      <c r="C19" s="58"/>
      <c r="D19" s="66" t="n">
        <f aca="false">SUM(D10:D18)</f>
        <v>-8370.26000000001</v>
      </c>
      <c r="E19" s="66" t="n">
        <f aca="false">SUM(E10:E18)</f>
        <v>5035.34699999998</v>
      </c>
      <c r="F19" s="66" t="n">
        <f aca="false">SUM(F10:F18)</f>
        <v>9857.18700000001</v>
      </c>
      <c r="G19" s="66" t="n">
        <f aca="false">SUM(G10:G18)</f>
        <v>0</v>
      </c>
      <c r="H19" s="66" t="n">
        <f aca="false">SUM(H10:H18)</f>
        <v>300.569999999999</v>
      </c>
      <c r="I19" s="66" t="n">
        <f aca="false">SUM(I10:I18)</f>
        <v>1.916</v>
      </c>
      <c r="J19" s="66" t="n">
        <f aca="false">SUM(J10:J18)</f>
        <v>341.392</v>
      </c>
      <c r="K19" s="66" t="n">
        <f aca="false">SUM(K10:K18)</f>
        <v>-9.98000000000015</v>
      </c>
      <c r="L19" s="66" t="n">
        <f aca="false">SUM(L10:L18)</f>
        <v>-29983.586</v>
      </c>
      <c r="M19" s="66" t="n">
        <f aca="false">SUM(M10:M18)</f>
        <v>0</v>
      </c>
      <c r="N19" s="66" t="n">
        <f aca="false">SUM(N10:N18)</f>
        <v>-29983.586</v>
      </c>
      <c r="O19" s="66" t="n">
        <f aca="false">SUM(O10:O18)</f>
        <v>6249.758</v>
      </c>
      <c r="P19" s="66" t="n">
        <f aca="false">SUM(P10:P18)</f>
        <v>-25.954</v>
      </c>
      <c r="Q19" s="66" t="n">
        <f aca="false">SUM(Q10:Q18)</f>
        <v>-136.91</v>
      </c>
      <c r="S19" s="66" t="n">
        <f aca="false">SUM(S10:S18)</f>
        <v>-2706.055</v>
      </c>
    </row>
    <row r="20" customFormat="false" ht="12.75" hidden="false" customHeight="true" outlineLevel="4" collapsed="false">
      <c r="A20" s="57"/>
      <c r="B20" s="42"/>
      <c r="C20" s="58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S20" s="42"/>
    </row>
    <row r="21" customFormat="false" ht="12.75" hidden="false" customHeight="true" outlineLevel="4" collapsed="false">
      <c r="A21" s="57" t="s">
        <v>103</v>
      </c>
      <c r="B21" s="58"/>
      <c r="C21" s="58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</row>
    <row r="22" customFormat="false" ht="12.75" hidden="false" customHeight="true" outlineLevel="4" collapsed="false">
      <c r="A22" s="57" t="s">
        <v>56</v>
      </c>
      <c r="B22" s="58" t="n">
        <f aca="false">D22+S22</f>
        <v>48534</v>
      </c>
      <c r="C22" s="58"/>
      <c r="D22" s="62" t="n">
        <f aca="false">SUM(E22:M22)+O22+P22+Q22</f>
        <v>48453</v>
      </c>
      <c r="E22" s="62" t="n">
        <f aca="false">'JULYYTD '!E22-JUNEYTD!E22</f>
        <v>50700</v>
      </c>
      <c r="F22" s="62" t="n">
        <f aca="false">'JULYYTD '!F22-JUNEYTD!F22</f>
        <v>1585</v>
      </c>
      <c r="G22" s="62" t="n">
        <f aca="false">'JULYYTD '!G22-JUNEYTD!G22</f>
        <v>0</v>
      </c>
      <c r="H22" s="62" t="n">
        <f aca="false">'JULYYTD '!H22-JUNEYTD!H22</f>
        <v>55</v>
      </c>
      <c r="I22" s="62" t="n">
        <f aca="false">'JULYYTD '!I22-JUNEYTD!I22</f>
        <v>0</v>
      </c>
      <c r="J22" s="62" t="n">
        <f aca="false">'JULYYTD '!J22-JUNEYTD!J22</f>
        <v>-793</v>
      </c>
      <c r="K22" s="62" t="n">
        <f aca="false">'JULYYTD '!K22-JUNEYTD!K22</f>
        <v>2</v>
      </c>
      <c r="L22" s="62" t="n">
        <f aca="false">'JULYYTD '!L22-JUNEYTD!L22</f>
        <v>0</v>
      </c>
      <c r="M22" s="62" t="n">
        <f aca="false">'JULYYTD '!M22-JUNEYTD!M22</f>
        <v>0</v>
      </c>
      <c r="N22" s="62" t="n">
        <f aca="false">M22+L22</f>
        <v>0</v>
      </c>
      <c r="O22" s="62" t="n">
        <f aca="false">'JULYYTD '!O22-JUNEYTD!O22</f>
        <v>-1329</v>
      </c>
      <c r="P22" s="62" t="n">
        <f aca="false">'JULYYTD '!P22-JUNEYTD!P22</f>
        <v>-1973</v>
      </c>
      <c r="Q22" s="62" t="n">
        <f aca="false">'JULYYTD '!Q22-JUNEYTD!Q22</f>
        <v>206</v>
      </c>
      <c r="S22" s="62" t="n">
        <f aca="false">'JULYYTD '!S22-JUNEYTD!S22</f>
        <v>81</v>
      </c>
    </row>
    <row r="23" customFormat="false" ht="12.75" hidden="false" customHeight="true" outlineLevel="4" collapsed="false">
      <c r="A23" s="57" t="s">
        <v>58</v>
      </c>
      <c r="B23" s="58" t="n">
        <f aca="false">D23+S23</f>
        <v>-5338</v>
      </c>
      <c r="C23" s="58"/>
      <c r="D23" s="62" t="n">
        <f aca="false">SUM(E23:M23)+O23+P23+Q23</f>
        <v>-5338</v>
      </c>
      <c r="E23" s="62" t="n">
        <f aca="false">'JULYYTD '!E23-JUNEYTD!E23</f>
        <v>-60617</v>
      </c>
      <c r="F23" s="62" t="n">
        <f aca="false">'JULYYTD '!F23-JUNEYTD!F23</f>
        <v>-14638</v>
      </c>
      <c r="G23" s="62" t="n">
        <f aca="false">'JULYYTD '!G23-JUNEYTD!G23</f>
        <v>0</v>
      </c>
      <c r="H23" s="62" t="n">
        <f aca="false">'JULYYTD '!H23-JUNEYTD!H23</f>
        <v>-2133</v>
      </c>
      <c r="I23" s="62" t="n">
        <f aca="false">'JULYYTD '!I23-JUNEYTD!I23</f>
        <v>-3</v>
      </c>
      <c r="J23" s="62" t="n">
        <f aca="false">'JULYYTD '!J23-JUNEYTD!J23</f>
        <v>22</v>
      </c>
      <c r="K23" s="62" t="n">
        <f aca="false">'JULYYTD '!K23-JUNEYTD!K23</f>
        <v>-65</v>
      </c>
      <c r="L23" s="62" t="n">
        <f aca="false">'JULYYTD '!L23-JUNEYTD!L23</f>
        <v>-2858</v>
      </c>
      <c r="M23" s="62" t="n">
        <f aca="false">'JULYYTD '!M23-JUNEYTD!M23</f>
        <v>0</v>
      </c>
      <c r="N23" s="62" t="n">
        <f aca="false">M23+L23</f>
        <v>-2858</v>
      </c>
      <c r="O23" s="62" t="n">
        <f aca="false">'JULYYTD '!O23-JUNEYTD!O23</f>
        <v>-8557</v>
      </c>
      <c r="P23" s="62" t="n">
        <f aca="false">'JULYYTD '!P23-JUNEYTD!P23</f>
        <v>83597</v>
      </c>
      <c r="Q23" s="62" t="n">
        <f aca="false">'JULYYTD '!Q23-JUNEYTD!Q23</f>
        <v>-86</v>
      </c>
      <c r="S23" s="62" t="n">
        <f aca="false">'JULYYTD '!S23-JUNEYTD!S23</f>
        <v>0</v>
      </c>
    </row>
    <row r="24" customFormat="false" ht="12.75" hidden="false" customHeight="true" outlineLevel="4" collapsed="false">
      <c r="A24" s="57" t="s">
        <v>60</v>
      </c>
      <c r="B24" s="58" t="n">
        <f aca="false">D24+S24</f>
        <v>3</v>
      </c>
      <c r="C24" s="58"/>
      <c r="D24" s="62" t="n">
        <f aca="false">SUM(E24:M24)+O24+P24+Q24</f>
        <v>3</v>
      </c>
      <c r="E24" s="62" t="n">
        <f aca="false">'JULYYTD '!E24-JUNEYTD!E24</f>
        <v>4</v>
      </c>
      <c r="F24" s="62" t="n">
        <f aca="false">'JULYYTD '!F24-JUNEYTD!F24</f>
        <v>-1</v>
      </c>
      <c r="G24" s="62" t="n">
        <f aca="false">'JULYYTD '!G24-JUNEYTD!G24</f>
        <v>0</v>
      </c>
      <c r="H24" s="62" t="n">
        <f aca="false">'JULYYTD '!H24-JUNEYTD!H24</f>
        <v>0</v>
      </c>
      <c r="I24" s="62" t="n">
        <f aca="false">'JULYYTD '!I24-JUNEYTD!I24</f>
        <v>0</v>
      </c>
      <c r="J24" s="62" t="n">
        <f aca="false">'JULYYTD '!J24-JUNEYTD!J24</f>
        <v>0</v>
      </c>
      <c r="K24" s="62" t="n">
        <f aca="false">'JULYYTD '!K24-JUNEYTD!K24</f>
        <v>0</v>
      </c>
      <c r="L24" s="62" t="n">
        <f aca="false">'JULYYTD '!L24-JUNEYTD!L24</f>
        <v>0</v>
      </c>
      <c r="M24" s="62" t="n">
        <f aca="false">'JULYYTD '!M24-JUNEYTD!M24</f>
        <v>0</v>
      </c>
      <c r="N24" s="62" t="n">
        <f aca="false">M24+L24</f>
        <v>0</v>
      </c>
      <c r="O24" s="62" t="n">
        <f aca="false">'JULYYTD '!O24-JUNEYTD!O24</f>
        <v>0</v>
      </c>
      <c r="P24" s="62" t="n">
        <f aca="false">'JULYYTD '!P24-JUNEYTD!P24</f>
        <v>0</v>
      </c>
      <c r="Q24" s="62" t="n">
        <f aca="false">'JULYYTD '!Q24-JUNEYTD!Q24</f>
        <v>0</v>
      </c>
      <c r="S24" s="62" t="n">
        <f aca="false">'JULYYTD '!S24-JUNEYTD!S24</f>
        <v>0</v>
      </c>
    </row>
    <row r="25" customFormat="false" ht="12.75" hidden="false" customHeight="true" outlineLevel="4" collapsed="false">
      <c r="A25" s="57" t="s">
        <v>61</v>
      </c>
      <c r="B25" s="58" t="n">
        <f aca="false">D25+S25</f>
        <v>1</v>
      </c>
      <c r="C25" s="58"/>
      <c r="D25" s="62" t="n">
        <f aca="false">SUM(E25:M25)+O25+P25+Q25</f>
        <v>1</v>
      </c>
      <c r="E25" s="62" t="n">
        <f aca="false">'JULYYTD '!E25-JUNEYTD!E25</f>
        <v>0</v>
      </c>
      <c r="F25" s="62" t="n">
        <f aca="false">'JULYYTD '!F25-JUNEYTD!F25</f>
        <v>1</v>
      </c>
      <c r="G25" s="62" t="n">
        <f aca="false">'JULYYTD '!G25-JUNEYTD!G25</f>
        <v>0</v>
      </c>
      <c r="H25" s="62" t="n">
        <f aca="false">'JULYYTD '!H25-JUNEYTD!H25</f>
        <v>0</v>
      </c>
      <c r="I25" s="62" t="n">
        <f aca="false">'JULYYTD '!I25-JUNEYTD!I25</f>
        <v>0</v>
      </c>
      <c r="J25" s="62" t="n">
        <f aca="false">'JULYYTD '!J25-JUNEYTD!J25</f>
        <v>0</v>
      </c>
      <c r="K25" s="62" t="n">
        <f aca="false">'JULYYTD '!K25-JUNEYTD!K25</f>
        <v>0</v>
      </c>
      <c r="L25" s="62" t="n">
        <f aca="false">'JULYYTD '!L25-JUNEYTD!L25</f>
        <v>0</v>
      </c>
      <c r="M25" s="62" t="n">
        <f aca="false">'JULYYTD '!M25-JUNEYTD!M25</f>
        <v>0</v>
      </c>
      <c r="N25" s="62" t="n">
        <f aca="false">M25+L25</f>
        <v>0</v>
      </c>
      <c r="O25" s="62" t="n">
        <f aca="false">'JULYYTD '!O25-JUNEYTD!O25</f>
        <v>0</v>
      </c>
      <c r="P25" s="62" t="n">
        <f aca="false">'JULYYTD '!P25-JUNEYTD!P25</f>
        <v>0</v>
      </c>
      <c r="Q25" s="62" t="n">
        <f aca="false">'JULYYTD '!Q25-JUNEYTD!Q25</f>
        <v>0</v>
      </c>
      <c r="S25" s="62" t="n">
        <f aca="false">'JULYYTD '!S25-JUNEYTD!S25</f>
        <v>0</v>
      </c>
    </row>
    <row r="26" customFormat="false" ht="12.75" hidden="false" customHeight="true" outlineLevel="4" collapsed="false">
      <c r="A26" s="57" t="s">
        <v>62</v>
      </c>
      <c r="B26" s="58" t="n">
        <f aca="false">D26+S26</f>
        <v>15105</v>
      </c>
      <c r="C26" s="58"/>
      <c r="D26" s="62" t="n">
        <f aca="false">SUM(E26:M26)+O26+P26+Q26</f>
        <v>15083</v>
      </c>
      <c r="E26" s="62" t="n">
        <f aca="false">'JULYYTD '!E26-JUNEYTD!E26</f>
        <v>7015</v>
      </c>
      <c r="F26" s="62" t="n">
        <f aca="false">'JULYYTD '!F26-JUNEYTD!F26</f>
        <v>35</v>
      </c>
      <c r="G26" s="62" t="n">
        <f aca="false">'JULYYTD '!G26-JUNEYTD!G26</f>
        <v>0</v>
      </c>
      <c r="H26" s="62" t="n">
        <f aca="false">'JULYYTD '!H26-JUNEYTD!H26</f>
        <v>749</v>
      </c>
      <c r="I26" s="62" t="n">
        <f aca="false">'JULYYTD '!I26-JUNEYTD!I26</f>
        <v>0</v>
      </c>
      <c r="J26" s="62" t="n">
        <f aca="false">'JULYYTD '!J26-JUNEYTD!J26</f>
        <v>400</v>
      </c>
      <c r="K26" s="62" t="n">
        <f aca="false">'JULYYTD '!K26-JUNEYTD!K26</f>
        <v>15</v>
      </c>
      <c r="L26" s="62" t="n">
        <f aca="false">'JULYYTD '!L26-JUNEYTD!L26</f>
        <v>0</v>
      </c>
      <c r="M26" s="62" t="n">
        <f aca="false">'JULYYTD '!M26-JUNEYTD!M26</f>
        <v>0</v>
      </c>
      <c r="N26" s="62" t="n">
        <f aca="false">M26+L26</f>
        <v>0</v>
      </c>
      <c r="O26" s="62" t="n">
        <f aca="false">'JULYYTD '!O26-JUNEYTD!O26</f>
        <v>1219</v>
      </c>
      <c r="P26" s="62" t="n">
        <f aca="false">'JULYYTD '!P26-JUNEYTD!P26</f>
        <v>5631</v>
      </c>
      <c r="Q26" s="62" t="n">
        <f aca="false">'JULYYTD '!Q26-JUNEYTD!Q26</f>
        <v>19</v>
      </c>
      <c r="S26" s="62" t="n">
        <f aca="false">'JULYYTD '!S26-JUNEYTD!S26</f>
        <v>22</v>
      </c>
    </row>
    <row r="27" customFormat="false" ht="12.75" hidden="false" customHeight="true" outlineLevel="4" collapsed="false">
      <c r="A27" s="57" t="s">
        <v>104</v>
      </c>
      <c r="B27" s="58" t="n">
        <f aca="false">D27+S27</f>
        <v>11396</v>
      </c>
      <c r="C27" s="58"/>
      <c r="D27" s="62" t="n">
        <f aca="false">SUM(E27:M27)+O27+P27+Q27</f>
        <v>11396</v>
      </c>
      <c r="E27" s="62" t="n">
        <f aca="false">'JULYYTD '!E27-JUNEYTD!E27</f>
        <v>10415</v>
      </c>
      <c r="F27" s="62" t="n">
        <f aca="false">'JULYYTD '!F27-JUNEYTD!F27</f>
        <v>981</v>
      </c>
      <c r="G27" s="62" t="n">
        <f aca="false">'JULYYTD '!G27-JUNEYTD!G27</f>
        <v>0</v>
      </c>
      <c r="H27" s="62" t="n">
        <f aca="false">'JULYYTD '!H27-JUNEYTD!H27</f>
        <v>0</v>
      </c>
      <c r="I27" s="62" t="n">
        <f aca="false">'JULYYTD '!I27-JUNEYTD!I27</f>
        <v>0</v>
      </c>
      <c r="J27" s="62" t="n">
        <f aca="false">'JULYYTD '!J27-JUNEYTD!J27</f>
        <v>0</v>
      </c>
      <c r="K27" s="62" t="n">
        <f aca="false">'JULYYTD '!K27-JUNEYTD!K27</f>
        <v>0</v>
      </c>
      <c r="L27" s="62" t="n">
        <f aca="false">'JULYYTD '!L27-JUNEYTD!L27</f>
        <v>0</v>
      </c>
      <c r="M27" s="62" t="n">
        <f aca="false">'JULYYTD '!M27-JUNEYTD!M27</f>
        <v>0</v>
      </c>
      <c r="N27" s="62" t="n">
        <f aca="false">M27+L27</f>
        <v>0</v>
      </c>
      <c r="O27" s="62" t="n">
        <f aca="false">'JULYYTD '!O27-JUNEYTD!O27</f>
        <v>0</v>
      </c>
      <c r="P27" s="62" t="n">
        <f aca="false">'JULYYTD '!P27-JUNEYTD!P27</f>
        <v>0</v>
      </c>
      <c r="Q27" s="62" t="n">
        <f aca="false">'JULYYTD '!Q27-JUNEYTD!Q27</f>
        <v>0</v>
      </c>
      <c r="S27" s="62" t="n">
        <f aca="false">'JULYYTD '!S27-JUNEYTD!S27</f>
        <v>0</v>
      </c>
    </row>
    <row r="28" customFormat="false" ht="12.75" hidden="false" customHeight="true" outlineLevel="4" collapsed="false">
      <c r="A28" s="57" t="s">
        <v>64</v>
      </c>
      <c r="B28" s="58" t="n">
        <f aca="false">D28+S28</f>
        <v>628</v>
      </c>
      <c r="C28" s="58"/>
      <c r="D28" s="62" t="n">
        <f aca="false">SUM(E28:M28)+O28+P28+Q28</f>
        <v>862</v>
      </c>
      <c r="E28" s="62" t="n">
        <f aca="false">'JULYYTD '!E28-JUNEYTD!E28</f>
        <v>1108</v>
      </c>
      <c r="F28" s="62" t="n">
        <f aca="false">'JULYYTD '!F28-JUNEYTD!F28</f>
        <v>592</v>
      </c>
      <c r="G28" s="62" t="n">
        <f aca="false">'JULYYTD '!G28-JUNEYTD!G28</f>
        <v>0</v>
      </c>
      <c r="H28" s="62" t="n">
        <f aca="false">'JULYYTD '!H28-JUNEYTD!H28</f>
        <v>-3</v>
      </c>
      <c r="I28" s="62" t="n">
        <f aca="false">'JULYYTD '!I28-JUNEYTD!I28</f>
        <v>0</v>
      </c>
      <c r="J28" s="62" t="n">
        <f aca="false">'JULYYTD '!J28-JUNEYTD!J28</f>
        <v>5</v>
      </c>
      <c r="K28" s="62" t="n">
        <f aca="false">'JULYYTD '!K28-JUNEYTD!K28</f>
        <v>1</v>
      </c>
      <c r="L28" s="62" t="n">
        <f aca="false">'JULYYTD '!L28-JUNEYTD!L28</f>
        <v>-310</v>
      </c>
      <c r="M28" s="62" t="n">
        <f aca="false">'JULYYTD '!M28-JUNEYTD!M28</f>
        <v>0</v>
      </c>
      <c r="N28" s="62" t="n">
        <f aca="false">M28+L28</f>
        <v>-310</v>
      </c>
      <c r="O28" s="62" t="n">
        <f aca="false">'JULYYTD '!O28-JUNEYTD!O28</f>
        <v>-531</v>
      </c>
      <c r="P28" s="62" t="n">
        <f aca="false">'JULYYTD '!P28-JUNEYTD!P28</f>
        <v>0</v>
      </c>
      <c r="Q28" s="62" t="n">
        <f aca="false">'JULYYTD '!Q28-JUNEYTD!Q28</f>
        <v>0</v>
      </c>
      <c r="S28" s="62" t="n">
        <f aca="false">+'JULYYTD '!S28-JUNEYTD!S28</f>
        <v>-234</v>
      </c>
    </row>
    <row r="29" customFormat="false" ht="12.75" hidden="false" customHeight="true" outlineLevel="4" collapsed="false">
      <c r="A29" s="57" t="s">
        <v>65</v>
      </c>
      <c r="B29" s="58" t="n">
        <f aca="false">D29+S29</f>
        <v>3948</v>
      </c>
      <c r="C29" s="58"/>
      <c r="D29" s="62" t="n">
        <f aca="false">SUM(E29:M29)+O29+P29+Q29</f>
        <v>3948</v>
      </c>
      <c r="E29" s="62" t="n">
        <f aca="false">'JULYYTD '!E29-JUNEYTD!E29</f>
        <v>2875</v>
      </c>
      <c r="F29" s="62" t="n">
        <f aca="false">'JULYYTD '!F29-JUNEYTD!F29</f>
        <v>1073</v>
      </c>
      <c r="G29" s="62" t="n">
        <f aca="false">'JULYYTD '!G29-JUNEYTD!G29</f>
        <v>0</v>
      </c>
      <c r="H29" s="62" t="n">
        <f aca="false">'JULYYTD '!H29-JUNEYTD!H29</f>
        <v>0</v>
      </c>
      <c r="I29" s="62" t="n">
        <f aca="false">'JULYYTD '!I29-JUNEYTD!I29</f>
        <v>0</v>
      </c>
      <c r="J29" s="62" t="n">
        <f aca="false">'JULYYTD '!J29-JUNEYTD!J29</f>
        <v>0</v>
      </c>
      <c r="K29" s="62" t="n">
        <f aca="false">'JULYYTD '!K29-JUNEYTD!K29</f>
        <v>0</v>
      </c>
      <c r="L29" s="62" t="n">
        <f aca="false">'JULYYTD '!L29-JUNEYTD!L29</f>
        <v>0</v>
      </c>
      <c r="M29" s="62" t="n">
        <f aca="false">'JULYYTD '!M29-JUNEYTD!M29</f>
        <v>0</v>
      </c>
      <c r="N29" s="62" t="n">
        <f aca="false">M29+L29</f>
        <v>0</v>
      </c>
      <c r="O29" s="62" t="n">
        <f aca="false">'JULYYTD '!O29-JUNEYTD!O29</f>
        <v>0</v>
      </c>
      <c r="P29" s="62" t="n">
        <f aca="false">'JULYYTD '!P29-JUNEYTD!P29</f>
        <v>0</v>
      </c>
      <c r="Q29" s="62" t="n">
        <f aca="false">'JULYYTD '!Q29-JUNEYTD!Q29</f>
        <v>0</v>
      </c>
      <c r="S29" s="62" t="n">
        <f aca="false">+'JULYYTD '!S29-JUNEYTD!S29</f>
        <v>0</v>
      </c>
    </row>
    <row r="30" customFormat="false" ht="12.75" hidden="false" customHeight="true" outlineLevel="4" collapsed="false">
      <c r="A30" s="57" t="s">
        <v>66</v>
      </c>
      <c r="B30" s="63" t="n">
        <f aca="false">D30+S30</f>
        <v>1770</v>
      </c>
      <c r="C30" s="58"/>
      <c r="D30" s="62" t="n">
        <f aca="false">SUM(E30:M30)+O30+P30+Q30</f>
        <v>1770</v>
      </c>
      <c r="E30" s="62" t="n">
        <f aca="false">'JULYYTD '!E30-JUNEYTD!E30</f>
        <v>1905</v>
      </c>
      <c r="F30" s="62" t="n">
        <f aca="false">'JULYYTD '!F30-JUNEYTD!F30</f>
        <v>153</v>
      </c>
      <c r="G30" s="62" t="n">
        <f aca="false">'JULYYTD '!G30-JUNEYTD!G30</f>
        <v>0</v>
      </c>
      <c r="H30" s="62" t="n">
        <f aca="false">'JULYYTD '!H30-JUNEYTD!H30</f>
        <v>-516</v>
      </c>
      <c r="I30" s="62" t="n">
        <f aca="false">'JULYYTD '!I30-JUNEYTD!I30</f>
        <v>0</v>
      </c>
      <c r="J30" s="62" t="n">
        <f aca="false">'JULYYTD '!J30-JUNEYTD!J30</f>
        <v>-122</v>
      </c>
      <c r="K30" s="62" t="n">
        <f aca="false">'JULYYTD '!K30-JUNEYTD!K30</f>
        <v>2</v>
      </c>
      <c r="L30" s="62" t="n">
        <f aca="false">'JULYYTD '!L30-JUNEYTD!L30</f>
        <v>0</v>
      </c>
      <c r="M30" s="62" t="n">
        <f aca="false">'JULYYTD '!M30-JUNEYTD!M30</f>
        <v>0</v>
      </c>
      <c r="N30" s="62" t="n">
        <f aca="false">M30+L30</f>
        <v>0</v>
      </c>
      <c r="O30" s="62" t="n">
        <f aca="false">'JULYYTD '!O30-JUNEYTD!O30</f>
        <v>352</v>
      </c>
      <c r="P30" s="62" t="n">
        <f aca="false">'JULYYTD '!P30-JUNEYTD!P30</f>
        <v>0</v>
      </c>
      <c r="Q30" s="62" t="n">
        <f aca="false">'JULYYTD '!Q30-JUNEYTD!Q30</f>
        <v>-4</v>
      </c>
      <c r="S30" s="62" t="n">
        <f aca="false">'JULYYTD '!S30-JUNEYTD!S30</f>
        <v>0</v>
      </c>
    </row>
    <row r="31" customFormat="false" ht="12.75" hidden="false" customHeight="true" outlineLevel="4" collapsed="false">
      <c r="A31" s="57" t="s">
        <v>67</v>
      </c>
      <c r="B31" s="67" t="n">
        <f aca="false">SUM(B21:B30)</f>
        <v>76047</v>
      </c>
      <c r="C31" s="68"/>
      <c r="D31" s="67" t="n">
        <f aca="false">SUM(D21:D30)</f>
        <v>76178</v>
      </c>
      <c r="E31" s="67" t="n">
        <f aca="false">SUM(E21:E30)</f>
        <v>13405</v>
      </c>
      <c r="F31" s="67" t="n">
        <f aca="false">SUM(F21:F30)</f>
        <v>-10219</v>
      </c>
      <c r="G31" s="67" t="n">
        <f aca="false">SUM(G21:G30)</f>
        <v>0</v>
      </c>
      <c r="H31" s="67" t="n">
        <f aca="false">SUM(H21:H30)</f>
        <v>-1848</v>
      </c>
      <c r="I31" s="67" t="n">
        <f aca="false">SUM(I21:I30)</f>
        <v>-3</v>
      </c>
      <c r="J31" s="67" t="n">
        <f aca="false">SUM(J21:J30)</f>
        <v>-488</v>
      </c>
      <c r="K31" s="67" t="n">
        <f aca="false">SUM(K21:K30)</f>
        <v>-45</v>
      </c>
      <c r="L31" s="67" t="n">
        <f aca="false">SUM(L21:L30)</f>
        <v>-3168</v>
      </c>
      <c r="M31" s="67" t="n">
        <f aca="false">SUM(M21:M30)</f>
        <v>0</v>
      </c>
      <c r="N31" s="67" t="n">
        <f aca="false">SUM(N21:N30)</f>
        <v>-3168</v>
      </c>
      <c r="O31" s="67" t="n">
        <f aca="false">SUM(O21:O30)</f>
        <v>-8846</v>
      </c>
      <c r="P31" s="67" t="n">
        <f aca="false">SUM(P21:P30)</f>
        <v>87255</v>
      </c>
      <c r="Q31" s="67" t="n">
        <f aca="false">SUM(Q21:Q30)</f>
        <v>135</v>
      </c>
      <c r="S31" s="67" t="n">
        <f aca="false">SUM(S21:S30)</f>
        <v>-131</v>
      </c>
    </row>
    <row r="32" customFormat="false" ht="12.75" hidden="false" customHeight="true" outlineLevel="4" collapsed="false">
      <c r="A32" s="57"/>
      <c r="B32" s="69"/>
      <c r="C32" s="68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42"/>
      <c r="S32" s="69"/>
    </row>
    <row r="33" customFormat="false" ht="12.75" hidden="false" customHeight="true" outlineLevel="3" collapsed="false">
      <c r="A33" s="57" t="s">
        <v>68</v>
      </c>
      <c r="B33" s="70" t="n">
        <f aca="false">B19+B31</f>
        <v>64970.685</v>
      </c>
      <c r="C33" s="58"/>
      <c r="D33" s="70" t="n">
        <f aca="false">D19+D31</f>
        <v>67807.74</v>
      </c>
      <c r="E33" s="70" t="n">
        <f aca="false">E19+E31</f>
        <v>18440.347</v>
      </c>
      <c r="F33" s="70" t="n">
        <f aca="false">F19+F31</f>
        <v>-361.812999999989</v>
      </c>
      <c r="G33" s="70" t="n">
        <f aca="false">G19+G31</f>
        <v>0</v>
      </c>
      <c r="H33" s="70" t="n">
        <f aca="false">H19+H31</f>
        <v>-1547.43</v>
      </c>
      <c r="I33" s="70" t="n">
        <f aca="false">I19+I31</f>
        <v>-1.084</v>
      </c>
      <c r="J33" s="70" t="n">
        <f aca="false">J19+J31</f>
        <v>-146.608</v>
      </c>
      <c r="K33" s="70" t="n">
        <f aca="false">K19+K31</f>
        <v>-54.9800000000001</v>
      </c>
      <c r="L33" s="70" t="n">
        <f aca="false">L19+L31</f>
        <v>-33151.586</v>
      </c>
      <c r="M33" s="70" t="n">
        <f aca="false">M19+M31</f>
        <v>0</v>
      </c>
      <c r="N33" s="70" t="n">
        <f aca="false">N19+N31</f>
        <v>-33151.586</v>
      </c>
      <c r="O33" s="70" t="n">
        <f aca="false">O19+O31</f>
        <v>-2596.242</v>
      </c>
      <c r="P33" s="70" t="n">
        <f aca="false">P19+P31</f>
        <v>87229.046</v>
      </c>
      <c r="Q33" s="70" t="n">
        <f aca="false">Q19+Q31</f>
        <v>-1.91000000000005</v>
      </c>
      <c r="S33" s="70" t="n">
        <f aca="false">S19+S31</f>
        <v>-2837.055</v>
      </c>
    </row>
    <row r="34" customFormat="false" ht="12.75" hidden="false" customHeight="true" outlineLevel="3" collapsed="false">
      <c r="B34" s="58"/>
      <c r="C34" s="58"/>
    </row>
    <row r="35" customFormat="false" ht="12.75" hidden="false" customHeight="true" outlineLevel="3" collapsed="false">
      <c r="A35" s="61" t="s">
        <v>69</v>
      </c>
      <c r="B35" s="58"/>
      <c r="C35" s="58"/>
    </row>
    <row r="36" customFormat="false" ht="12.75" hidden="false" customHeight="true" outlineLevel="4" collapsed="false">
      <c r="A36" s="57" t="s">
        <v>70</v>
      </c>
      <c r="B36" s="58" t="n">
        <f aca="false">D36+S36</f>
        <v>0</v>
      </c>
      <c r="C36" s="58"/>
      <c r="D36" s="62" t="n">
        <f aca="false">SUM(E36:M36)+O36+P36+Q36</f>
        <v>0</v>
      </c>
      <c r="E36" s="62" t="n">
        <f aca="false">'JULYYTD '!E36-JUNEYTD!E36</f>
        <v>0</v>
      </c>
      <c r="F36" s="62" t="n">
        <f aca="false">'JULYYTD '!F36-JUNEYTD!F36</f>
        <v>0</v>
      </c>
      <c r="G36" s="62" t="n">
        <f aca="false">'JULYYTD '!G36-JUNEYTD!G36</f>
        <v>0</v>
      </c>
      <c r="H36" s="62" t="n">
        <f aca="false">'JULYYTD '!H36-JUNEYTD!H36</f>
        <v>0</v>
      </c>
      <c r="I36" s="62" t="n">
        <f aca="false">'JULYYTD '!I36-JUNEYTD!I36</f>
        <v>0</v>
      </c>
      <c r="J36" s="62" t="n">
        <f aca="false">'JULYYTD '!J36-JUNEYTD!J36</f>
        <v>0</v>
      </c>
      <c r="K36" s="62" t="n">
        <f aca="false">'JULYYTD '!K36-JUNEYTD!K36</f>
        <v>0</v>
      </c>
      <c r="L36" s="62" t="n">
        <f aca="false">'JULYYTD '!L36-JUNEYTD!L36</f>
        <v>0</v>
      </c>
      <c r="M36" s="62" t="n">
        <f aca="false">'JULYYTD '!M36-JUNEYTD!M36</f>
        <v>0</v>
      </c>
      <c r="N36" s="62" t="n">
        <f aca="false">M36+L36</f>
        <v>0</v>
      </c>
      <c r="O36" s="62" t="n">
        <f aca="false">'JULYYTD '!O36-JUNEYTD!O36</f>
        <v>0</v>
      </c>
      <c r="P36" s="62" t="n">
        <f aca="false">'JULYYTD '!P36-JUNEYTD!P36</f>
        <v>0</v>
      </c>
      <c r="Q36" s="62" t="n">
        <f aca="false">'JULYYTD '!Q36-JUNEYTD!Q36</f>
        <v>0</v>
      </c>
      <c r="S36" s="62" t="n">
        <f aca="false">'JULYYTD '!S36-JUNEYTD!S36</f>
        <v>0</v>
      </c>
    </row>
    <row r="37" customFormat="false" ht="12.75" hidden="false" customHeight="true" outlineLevel="4" collapsed="false">
      <c r="A37" s="57" t="s">
        <v>71</v>
      </c>
      <c r="B37" s="58" t="n">
        <f aca="false">D37+S37</f>
        <v>-7403</v>
      </c>
      <c r="C37" s="58"/>
      <c r="D37" s="62" t="n">
        <f aca="false">SUM(E37:M37)+O37+P37+Q37</f>
        <v>-7403</v>
      </c>
      <c r="E37" s="62" t="n">
        <f aca="false">'JULYYTD '!E37-JUNEYTD!E37</f>
        <v>-4692</v>
      </c>
      <c r="F37" s="62" t="n">
        <f aca="false">'JULYYTD '!F37-JUNEYTD!F37</f>
        <v>-2711</v>
      </c>
      <c r="G37" s="62" t="n">
        <f aca="false">'JULYYTD '!G37-JUNEYTD!G37</f>
        <v>0</v>
      </c>
      <c r="H37" s="62" t="n">
        <f aca="false">'JULYYTD '!H37-JUNEYTD!H37</f>
        <v>0</v>
      </c>
      <c r="I37" s="62" t="n">
        <f aca="false">'JULYYTD '!I37-JUNEYTD!I37</f>
        <v>0</v>
      </c>
      <c r="J37" s="62" t="n">
        <f aca="false">'JULYYTD '!J37-JUNEYTD!J37</f>
        <v>0</v>
      </c>
      <c r="K37" s="62" t="n">
        <f aca="false">'JULYYTD '!K37-JUNEYTD!K37</f>
        <v>0</v>
      </c>
      <c r="L37" s="62" t="n">
        <f aca="false">'JULYYTD '!L37-JUNEYTD!L37</f>
        <v>0</v>
      </c>
      <c r="M37" s="62" t="n">
        <f aca="false">'JULYYTD '!M37-JUNEYTD!M37</f>
        <v>0</v>
      </c>
      <c r="N37" s="62" t="n">
        <f aca="false">M37+L37</f>
        <v>0</v>
      </c>
      <c r="O37" s="62" t="n">
        <f aca="false">'JULYYTD '!O37-JUNEYTD!O37</f>
        <v>0</v>
      </c>
      <c r="P37" s="62" t="n">
        <f aca="false">'JULYYTD '!P37-JUNEYTD!P37</f>
        <v>0</v>
      </c>
      <c r="Q37" s="62" t="n">
        <f aca="false">'JULYYTD '!Q37-JUNEYTD!Q37</f>
        <v>0</v>
      </c>
      <c r="S37" s="62" t="n">
        <f aca="false">'JULYYTD '!S37-JUNEYTD!S37</f>
        <v>0</v>
      </c>
    </row>
    <row r="38" customFormat="false" ht="12.75" hidden="false" customHeight="true" outlineLevel="4" collapsed="false">
      <c r="A38" s="57" t="s">
        <v>105</v>
      </c>
      <c r="B38" s="58" t="n">
        <f aca="false">D38+S38</f>
        <v>-20332</v>
      </c>
      <c r="C38" s="58"/>
      <c r="D38" s="62" t="n">
        <f aca="false">SUM(E38:M38)+O38+P38+Q38</f>
        <v>-20332</v>
      </c>
      <c r="E38" s="62" t="n">
        <f aca="false">'JULYYTD '!E38-JUNEYTD!E38</f>
        <v>-19978</v>
      </c>
      <c r="F38" s="62" t="n">
        <f aca="false">'JULYYTD '!F38-JUNEYTD!F38</f>
        <v>-354</v>
      </c>
      <c r="G38" s="62" t="n">
        <f aca="false">'JULYYTD '!G38-JUNEYTD!G38</f>
        <v>0</v>
      </c>
      <c r="H38" s="62" t="n">
        <f aca="false">'JULYYTD '!H38-JUNEYTD!H38</f>
        <v>0</v>
      </c>
      <c r="I38" s="62" t="n">
        <f aca="false">'JULYYTD '!I38-JUNEYTD!I38</f>
        <v>0</v>
      </c>
      <c r="J38" s="62" t="n">
        <f aca="false">'JULYYTD '!J38-JUNEYTD!J38</f>
        <v>0</v>
      </c>
      <c r="K38" s="62" t="n">
        <f aca="false">'JULYYTD '!K38-JUNEYTD!K38</f>
        <v>0</v>
      </c>
      <c r="L38" s="62" t="n">
        <f aca="false">'JULYYTD '!L38-JUNEYTD!L38</f>
        <v>0</v>
      </c>
      <c r="M38" s="62" t="n">
        <f aca="false">'JULYYTD '!M38-JUNEYTD!M38</f>
        <v>0</v>
      </c>
      <c r="N38" s="62" t="n">
        <f aca="false">M38+L38</f>
        <v>0</v>
      </c>
      <c r="O38" s="62" t="n">
        <f aca="false">'JULYYTD '!O38-JUNEYTD!O38</f>
        <v>0</v>
      </c>
      <c r="P38" s="62" t="n">
        <f aca="false">'JULYYTD '!P38-JUNEYTD!P38</f>
        <v>0</v>
      </c>
      <c r="Q38" s="62" t="n">
        <f aca="false">'JULYYTD '!Q38-JUNEYTD!Q38</f>
        <v>0</v>
      </c>
      <c r="S38" s="62" t="n">
        <f aca="false">'JULYYTD '!S38-JUNEYTD!S38</f>
        <v>0</v>
      </c>
    </row>
    <row r="39" customFormat="false" ht="12.75" hidden="false" customHeight="true" outlineLevel="4" collapsed="false">
      <c r="A39" s="57" t="s">
        <v>106</v>
      </c>
      <c r="B39" s="58" t="n">
        <f aca="false">D39+S39</f>
        <v>0</v>
      </c>
      <c r="C39" s="58"/>
      <c r="D39" s="62" t="n">
        <f aca="false">SUM(E39:M39)+O39+P39+Q39</f>
        <v>0</v>
      </c>
      <c r="E39" s="62" t="n">
        <f aca="false">'JULYYTD '!E39-JUNEYTD!E39</f>
        <v>0</v>
      </c>
      <c r="F39" s="62" t="n">
        <f aca="false">'JULYYTD '!F39-JUNEYTD!F39</f>
        <v>0</v>
      </c>
      <c r="G39" s="62" t="n">
        <f aca="false">'JULYYTD '!G39-JUNEYTD!G39</f>
        <v>0</v>
      </c>
      <c r="H39" s="62" t="n">
        <f aca="false">'JULYYTD '!H39-JUNEYTD!H39</f>
        <v>0</v>
      </c>
      <c r="I39" s="62" t="n">
        <f aca="false">'JULYYTD '!I39-JUNEYTD!I39</f>
        <v>0</v>
      </c>
      <c r="J39" s="62" t="n">
        <f aca="false">'JULYYTD '!J39-JUNEYTD!J39</f>
        <v>0</v>
      </c>
      <c r="K39" s="62" t="n">
        <f aca="false">'JULYYTD '!K39-JUNEYTD!K39</f>
        <v>0</v>
      </c>
      <c r="L39" s="62" t="n">
        <f aca="false">'JULYYTD '!L39-JUNEYTD!L39</f>
        <v>0</v>
      </c>
      <c r="M39" s="62" t="n">
        <f aca="false">'JULYYTD '!M39-JUNEYTD!M39</f>
        <v>0</v>
      </c>
      <c r="N39" s="62" t="n">
        <f aca="false">M39+L39</f>
        <v>0</v>
      </c>
      <c r="O39" s="62" t="n">
        <f aca="false">'JULYYTD '!O39-JUNEYTD!O39</f>
        <v>0</v>
      </c>
      <c r="P39" s="62" t="n">
        <f aca="false">'JULYYTD '!P39-JUNEYTD!P39</f>
        <v>0</v>
      </c>
      <c r="Q39" s="62" t="n">
        <f aca="false">'JULYYTD '!Q39-JUNEYTD!Q39</f>
        <v>0</v>
      </c>
      <c r="S39" s="62" t="n">
        <f aca="false">'JULYYTD '!S39-JUNEYTD!S39</f>
        <v>0</v>
      </c>
    </row>
    <row r="40" customFormat="false" ht="12.75" hidden="false" customHeight="true" outlineLevel="4" collapsed="false">
      <c r="A40" s="57" t="s">
        <v>76</v>
      </c>
      <c r="B40" s="58" t="n">
        <f aca="false">D40+S40</f>
        <v>0</v>
      </c>
      <c r="C40" s="58"/>
      <c r="D40" s="62" t="n">
        <f aca="false">SUM(E40:M40)+O40+P40+Q40</f>
        <v>0</v>
      </c>
      <c r="E40" s="62" t="n">
        <f aca="false">'JULYYTD '!E40-JUNEYTD!E40</f>
        <v>0</v>
      </c>
      <c r="F40" s="62" t="n">
        <f aca="false">'JULYYTD '!F40-JUNEYTD!F40</f>
        <v>0</v>
      </c>
      <c r="G40" s="62" t="n">
        <f aca="false">'JULYYTD '!G40-JUNEYTD!G40</f>
        <v>0</v>
      </c>
      <c r="H40" s="62" t="n">
        <f aca="false">'JULYYTD '!H40-JUNEYTD!H40</f>
        <v>0</v>
      </c>
      <c r="I40" s="62" t="n">
        <f aca="false">'JULYYTD '!I40-JUNEYTD!I40</f>
        <v>0</v>
      </c>
      <c r="J40" s="62" t="n">
        <f aca="false">'JULYYTD '!J40-JUNEYTD!J40</f>
        <v>0</v>
      </c>
      <c r="K40" s="62" t="n">
        <f aca="false">'JULYYTD '!K40-JUNEYTD!K40</f>
        <v>0</v>
      </c>
      <c r="L40" s="62" t="n">
        <f aca="false">'JULYYTD '!L40-JUNEYTD!L40</f>
        <v>0</v>
      </c>
      <c r="M40" s="62" t="n">
        <f aca="false">'JULYYTD '!M40-JUNEYTD!M40</f>
        <v>0</v>
      </c>
      <c r="N40" s="62" t="n">
        <f aca="false">M40+L40</f>
        <v>0</v>
      </c>
      <c r="O40" s="62" t="n">
        <f aca="false">'JULYYTD '!O40-JUNEYTD!O40</f>
        <v>0</v>
      </c>
      <c r="P40" s="62" t="n">
        <f aca="false">'JULYYTD '!P40-JUNEYTD!P40</f>
        <v>0</v>
      </c>
      <c r="Q40" s="62" t="n">
        <f aca="false">'JULYYTD '!Q40-JUNEYTD!Q40</f>
        <v>0</v>
      </c>
      <c r="S40" s="62" t="n">
        <f aca="false">'JULYYTD '!S40-JUNEYTD!S40</f>
        <v>0</v>
      </c>
    </row>
    <row r="41" customFormat="false" ht="12.75" hidden="false" customHeight="true" outlineLevel="4" collapsed="false">
      <c r="A41" s="57" t="s">
        <v>77</v>
      </c>
      <c r="B41" s="63" t="n">
        <f aca="false">D41+S41</f>
        <v>0</v>
      </c>
      <c r="C41" s="58"/>
      <c r="D41" s="64" t="n">
        <f aca="false">SUM(E41:M41)+O41+P41+Q41</f>
        <v>0</v>
      </c>
      <c r="E41" s="64" t="n">
        <f aca="false">'JULYYTD '!E41-JUNEYTD!E41</f>
        <v>0</v>
      </c>
      <c r="F41" s="64" t="n">
        <f aca="false">'JULYYTD '!F41-JUNEYTD!F41</f>
        <v>0</v>
      </c>
      <c r="G41" s="64" t="n">
        <f aca="false">'JULYYTD '!G41-JUNEYTD!G41</f>
        <v>0</v>
      </c>
      <c r="H41" s="64" t="n">
        <f aca="false">'JULYYTD '!H41-JUNEYTD!H41</f>
        <v>0</v>
      </c>
      <c r="I41" s="64" t="n">
        <f aca="false">'JULYYTD '!I41-JUNEYTD!I41</f>
        <v>0</v>
      </c>
      <c r="J41" s="64" t="n">
        <f aca="false">'JULYYTD '!J41-JUNEYTD!J41</f>
        <v>0</v>
      </c>
      <c r="K41" s="64" t="n">
        <f aca="false">'JULYYTD '!K41-JUNEYTD!K41</f>
        <v>0</v>
      </c>
      <c r="L41" s="64" t="n">
        <f aca="false">'JULYYTD '!L41-JUNEYTD!L41</f>
        <v>0</v>
      </c>
      <c r="M41" s="64" t="n">
        <f aca="false">'JULYYTD '!M41-JUNEYTD!M41</f>
        <v>0</v>
      </c>
      <c r="N41" s="64" t="n">
        <f aca="false">M41+L41</f>
        <v>0</v>
      </c>
      <c r="O41" s="64" t="n">
        <f aca="false">'JULYYTD '!O41-JUNEYTD!O41</f>
        <v>0</v>
      </c>
      <c r="P41" s="64" t="n">
        <f aca="false">'JULYYTD '!P41-JUNEYTD!P41</f>
        <v>0</v>
      </c>
      <c r="Q41" s="64" t="n">
        <f aca="false">'JULYYTD '!Q41-JUNEYTD!Q41</f>
        <v>0</v>
      </c>
      <c r="S41" s="64" t="n">
        <f aca="false">'JULYYTD '!S41-JUNEYTD!S41</f>
        <v>0</v>
      </c>
    </row>
    <row r="42" customFormat="false" ht="12.75" hidden="false" customHeight="true" outlineLevel="3" collapsed="false">
      <c r="A42" s="57" t="s">
        <v>78</v>
      </c>
      <c r="B42" s="70" t="n">
        <f aca="false">SUM(B36:B41)</f>
        <v>-27735</v>
      </c>
      <c r="C42" s="71" t="n">
        <f aca="false">SUM(C36:C41)</f>
        <v>0</v>
      </c>
      <c r="D42" s="70" t="n">
        <f aca="false">SUM(D36:D41)</f>
        <v>-27735</v>
      </c>
      <c r="E42" s="70" t="n">
        <f aca="false">SUM(E36:E41)</f>
        <v>-24670</v>
      </c>
      <c r="F42" s="70" t="n">
        <f aca="false">SUM(F36:F41)</f>
        <v>-3065</v>
      </c>
      <c r="G42" s="70" t="n">
        <f aca="false">SUM(G36:G41)</f>
        <v>0</v>
      </c>
      <c r="H42" s="70" t="n">
        <f aca="false">SUM(H36:H41)</f>
        <v>0</v>
      </c>
      <c r="I42" s="70" t="n">
        <f aca="false">SUM(I36:I41)</f>
        <v>0</v>
      </c>
      <c r="J42" s="70" t="n">
        <f aca="false">SUM(J36:J41)</f>
        <v>0</v>
      </c>
      <c r="K42" s="70" t="n">
        <f aca="false">SUM(K36:K41)</f>
        <v>0</v>
      </c>
      <c r="L42" s="70" t="n">
        <f aca="false">SUM(L36:L41)</f>
        <v>0</v>
      </c>
      <c r="M42" s="70" t="n">
        <f aca="false">SUM(M36:M41)</f>
        <v>0</v>
      </c>
      <c r="N42" s="70" t="n">
        <f aca="false">SUM(N36:N41)</f>
        <v>0</v>
      </c>
      <c r="O42" s="70" t="n">
        <f aca="false">SUM(O36:O41)</f>
        <v>0</v>
      </c>
      <c r="P42" s="70" t="n">
        <f aca="false">SUM(P36:P41)</f>
        <v>0</v>
      </c>
      <c r="Q42" s="70" t="n">
        <f aca="false">SUM(Q36:Q41)</f>
        <v>0</v>
      </c>
      <c r="S42" s="66" t="n">
        <f aca="false">SUM(S36:S41)</f>
        <v>0</v>
      </c>
    </row>
    <row r="43" customFormat="false" ht="12.75" hidden="false" customHeight="true" outlineLevel="3" collapsed="false">
      <c r="B43" s="58"/>
      <c r="C43" s="58"/>
    </row>
    <row r="44" customFormat="false" ht="12.75" hidden="false" customHeight="true" outlineLevel="3" collapsed="false">
      <c r="A44" s="61" t="s">
        <v>79</v>
      </c>
      <c r="B44" s="58"/>
      <c r="C44" s="58"/>
    </row>
    <row r="45" customFormat="false" ht="12.75" hidden="false" customHeight="true" outlineLevel="4" collapsed="false">
      <c r="A45" s="57" t="s">
        <v>80</v>
      </c>
      <c r="B45" s="58" t="n">
        <f aca="false">D45+S45</f>
        <v>0</v>
      </c>
      <c r="C45" s="58"/>
      <c r="D45" s="62" t="n">
        <f aca="false">SUM(E45:Q45)</f>
        <v>0</v>
      </c>
      <c r="E45" s="62" t="n">
        <f aca="false">'JULYYTD '!E45-JUNEYTD!E45</f>
        <v>0</v>
      </c>
      <c r="F45" s="62" t="n">
        <f aca="false">'JULYYTD '!F45-JUNEYTD!F45</f>
        <v>0</v>
      </c>
      <c r="G45" s="62" t="n">
        <f aca="false">'JULYYTD '!G45-JUNEYTD!G45</f>
        <v>0</v>
      </c>
      <c r="H45" s="62" t="n">
        <f aca="false">'JULYYTD '!H45-JUNEYTD!H45</f>
        <v>0</v>
      </c>
      <c r="I45" s="62" t="n">
        <f aca="false">'JULYYTD '!I45-JUNEYTD!I45</f>
        <v>0</v>
      </c>
      <c r="J45" s="62" t="n">
        <f aca="false">'JULYYTD '!J45-JUNEYTD!J45</f>
        <v>0</v>
      </c>
      <c r="K45" s="62" t="n">
        <f aca="false">'JULYYTD '!K45-JUNEYTD!K45</f>
        <v>0</v>
      </c>
      <c r="L45" s="62" t="n">
        <f aca="false">'JULYYTD '!L45-JUNEYTD!L45</f>
        <v>0</v>
      </c>
      <c r="M45" s="62" t="n">
        <f aca="false">'JULYYTD '!M45-JUNEYTD!M45</f>
        <v>0</v>
      </c>
      <c r="N45" s="62" t="n">
        <f aca="false">M45+L45</f>
        <v>0</v>
      </c>
      <c r="O45" s="62" t="n">
        <f aca="false">'JULYYTD '!O45-JUNEYTD!O45</f>
        <v>0</v>
      </c>
      <c r="P45" s="62" t="n">
        <f aca="false">'JULYYTD '!P45-JUNEYTD!P45</f>
        <v>0</v>
      </c>
      <c r="Q45" s="62" t="n">
        <f aca="false">'JULYYTD '!Q45-JUNEYTD!Q45</f>
        <v>0</v>
      </c>
      <c r="S45" s="62" t="n">
        <f aca="false">'JULYYTD '!S45-JUNEYTD!S45</f>
        <v>0</v>
      </c>
    </row>
    <row r="46" customFormat="false" ht="12.75" hidden="false" customHeight="true" outlineLevel="4" collapsed="false">
      <c r="A46" s="57" t="s">
        <v>81</v>
      </c>
      <c r="B46" s="58" t="n">
        <f aca="false">D46+S46</f>
        <v>0</v>
      </c>
      <c r="C46" s="58"/>
      <c r="D46" s="62" t="n">
        <f aca="false">SUM(E46:M46)+O46+P46+Q46</f>
        <v>0</v>
      </c>
      <c r="E46" s="62" t="n">
        <f aca="false">'JULYYTD '!E46-JUNEYTD!E46</f>
        <v>0</v>
      </c>
      <c r="F46" s="62" t="n">
        <f aca="false">'JULYYTD '!F46-JUNEYTD!F46</f>
        <v>0</v>
      </c>
      <c r="G46" s="62" t="n">
        <f aca="false">'JULYYTD '!G46-JUNEYTD!G46</f>
        <v>0</v>
      </c>
      <c r="H46" s="62" t="n">
        <f aca="false">'JULYYTD '!H46-JUNEYTD!H46</f>
        <v>0</v>
      </c>
      <c r="I46" s="62" t="n">
        <f aca="false">'JULYYTD '!I46-JUNEYTD!I46</f>
        <v>0</v>
      </c>
      <c r="J46" s="62" t="n">
        <f aca="false">'JULYYTD '!J46-JUNEYTD!J46</f>
        <v>0</v>
      </c>
      <c r="K46" s="62" t="n">
        <f aca="false">'JULYYTD '!K46-JUNEYTD!K46</f>
        <v>0</v>
      </c>
      <c r="L46" s="62" t="n">
        <f aca="false">'JULYYTD '!L46-JUNEYTD!L46</f>
        <v>0</v>
      </c>
      <c r="M46" s="62" t="n">
        <f aca="false">'JULYYTD '!M46-JUNEYTD!M46</f>
        <v>0</v>
      </c>
      <c r="N46" s="62" t="n">
        <f aca="false">M46+L46</f>
        <v>0</v>
      </c>
      <c r="O46" s="62" t="n">
        <f aca="false">'JULYYTD '!O46-JUNEYTD!O46</f>
        <v>0</v>
      </c>
      <c r="P46" s="62" t="n">
        <f aca="false">'JULYYTD '!P46-JUNEYTD!P46</f>
        <v>0</v>
      </c>
      <c r="Q46" s="62" t="n">
        <f aca="false">'JULYYTD '!Q46-JUNEYTD!Q46</f>
        <v>0</v>
      </c>
      <c r="S46" s="62" t="n">
        <f aca="false">'JULYYTD '!S46-JUNEYTD!S46</f>
        <v>0</v>
      </c>
    </row>
    <row r="47" customFormat="false" ht="12.75" hidden="false" customHeight="true" outlineLevel="4" collapsed="false">
      <c r="A47" s="57" t="s">
        <v>83</v>
      </c>
      <c r="B47" s="58" t="n">
        <f aca="false">D47+S47</f>
        <v>0</v>
      </c>
      <c r="C47" s="58"/>
      <c r="D47" s="62" t="n">
        <f aca="false">SUM(E47:Q47)</f>
        <v>0</v>
      </c>
      <c r="E47" s="62" t="n">
        <f aca="false">'JULYYTD '!E47-JUNEYTD!E47</f>
        <v>0</v>
      </c>
      <c r="F47" s="62" t="n">
        <f aca="false">'JULYYTD '!F47-JUNEYTD!F47</f>
        <v>0</v>
      </c>
      <c r="G47" s="62" t="n">
        <f aca="false">'JULYYTD '!G47-JUNEYTD!G47</f>
        <v>0</v>
      </c>
      <c r="H47" s="62" t="n">
        <f aca="false">'JULYYTD '!H47-JUNEYTD!H47</f>
        <v>0</v>
      </c>
      <c r="I47" s="62" t="n">
        <f aca="false">'JULYYTD '!I47-JUNEYTD!I47</f>
        <v>0</v>
      </c>
      <c r="J47" s="62" t="n">
        <f aca="false">'JULYYTD '!J47-JUNEYTD!J47</f>
        <v>0</v>
      </c>
      <c r="K47" s="62" t="n">
        <f aca="false">'JULYYTD '!K47-JUNEYTD!K47</f>
        <v>0</v>
      </c>
      <c r="L47" s="62" t="n">
        <f aca="false">'JULYYTD '!L47-JUNEYTD!L47</f>
        <v>0</v>
      </c>
      <c r="M47" s="62" t="n">
        <f aca="false">'JULYYTD '!M47-JUNEYTD!M47</f>
        <v>0</v>
      </c>
      <c r="N47" s="62" t="n">
        <f aca="false">M47+L47</f>
        <v>0</v>
      </c>
      <c r="O47" s="62" t="n">
        <f aca="false">'JULYYTD '!O47-JUNEYTD!O47</f>
        <v>0</v>
      </c>
      <c r="P47" s="62" t="n">
        <f aca="false">'JULYYTD '!P47-JUNEYTD!P47</f>
        <v>0</v>
      </c>
      <c r="Q47" s="62" t="n">
        <f aca="false">'JULYYTD '!Q47-JUNEYTD!Q47</f>
        <v>0</v>
      </c>
      <c r="S47" s="62" t="n">
        <f aca="false">'JULYYTD '!S47-JUNEYTD!S47</f>
        <v>0</v>
      </c>
    </row>
    <row r="48" customFormat="false" ht="12.75" hidden="false" customHeight="true" outlineLevel="4" collapsed="false">
      <c r="A48" s="57" t="s">
        <v>84</v>
      </c>
      <c r="B48" s="58" t="n">
        <f aca="false">D48+S48</f>
        <v>2533</v>
      </c>
      <c r="C48" s="58"/>
      <c r="D48" s="62" t="n">
        <f aca="false">SUM(E48:M48)+O48+P48+Q48</f>
        <v>0</v>
      </c>
      <c r="E48" s="62" t="n">
        <f aca="false">'JULYYTD '!E48-JUNEYTD!E48</f>
        <v>0</v>
      </c>
      <c r="F48" s="62" t="n">
        <f aca="false">'JULYYTD '!F48-JUNEYTD!F48</f>
        <v>0</v>
      </c>
      <c r="G48" s="62" t="n">
        <f aca="false">'JULYYTD '!G48-JUNEYTD!G48</f>
        <v>0</v>
      </c>
      <c r="H48" s="62" t="n">
        <f aca="false">'JULYYTD '!H48-JUNEYTD!H48</f>
        <v>0</v>
      </c>
      <c r="I48" s="62" t="n">
        <f aca="false">'JULYYTD '!I48-JUNEYTD!I48</f>
        <v>0</v>
      </c>
      <c r="J48" s="62" t="n">
        <f aca="false">'JULYYTD '!J48-JUNEYTD!J48</f>
        <v>0</v>
      </c>
      <c r="K48" s="62" t="n">
        <f aca="false">'JULYYTD '!K48-JUNEYTD!K48</f>
        <v>0</v>
      </c>
      <c r="L48" s="62" t="n">
        <f aca="false">'JULYYTD '!L48-JUNEYTD!L48</f>
        <v>0</v>
      </c>
      <c r="M48" s="62" t="n">
        <f aca="false">'JULYYTD '!M48-JUNEYTD!M48</f>
        <v>0</v>
      </c>
      <c r="N48" s="62" t="n">
        <f aca="false">M48+L48</f>
        <v>0</v>
      </c>
      <c r="O48" s="62" t="n">
        <f aca="false">'JULYYTD '!O48-JUNEYTD!O48</f>
        <v>0</v>
      </c>
      <c r="P48" s="62" t="n">
        <f aca="false">'JULYYTD '!P48-JUNEYTD!P48</f>
        <v>0</v>
      </c>
      <c r="Q48" s="62" t="n">
        <f aca="false">'JULYYTD '!Q48-JUNEYTD!Q48</f>
        <v>0</v>
      </c>
      <c r="S48" s="62" t="n">
        <f aca="false">'JULYYTD '!S48-JUNEYTD!S48</f>
        <v>2533</v>
      </c>
    </row>
    <row r="49" customFormat="false" ht="12.75" hidden="false" customHeight="true" outlineLevel="4" collapsed="false">
      <c r="A49" s="57" t="s">
        <v>107</v>
      </c>
      <c r="B49" s="58" t="n">
        <f aca="false">D49+S49</f>
        <v>0</v>
      </c>
      <c r="C49" s="58"/>
      <c r="D49" s="62" t="n">
        <f aca="false">SUM(E49:Q49)</f>
        <v>0</v>
      </c>
      <c r="E49" s="62" t="n">
        <f aca="false">'JULYYTD '!E49-JUNEYTD!E49</f>
        <v>0</v>
      </c>
      <c r="F49" s="62" t="n">
        <f aca="false">'JULYYTD '!F49-JUNEYTD!F49</f>
        <v>0</v>
      </c>
      <c r="G49" s="62" t="n">
        <f aca="false">'JULYYTD '!G49-JUNEYTD!G49</f>
        <v>0</v>
      </c>
      <c r="H49" s="62" t="n">
        <f aca="false">'JULYYTD '!H49-JUNEYTD!H49</f>
        <v>0</v>
      </c>
      <c r="I49" s="62" t="n">
        <f aca="false">'JULYYTD '!I49-JUNEYTD!I49</f>
        <v>0</v>
      </c>
      <c r="J49" s="62" t="n">
        <f aca="false">'JULYYTD '!J49-JUNEYTD!J49</f>
        <v>0</v>
      </c>
      <c r="K49" s="62" t="n">
        <f aca="false">'JULYYTD '!K49-JUNEYTD!K49</f>
        <v>0</v>
      </c>
      <c r="L49" s="62" t="n">
        <f aca="false">'JULYYTD '!L49-JUNEYTD!L49</f>
        <v>0</v>
      </c>
      <c r="M49" s="62" t="n">
        <f aca="false">'JULYYTD '!M49-JUNEYTD!M49</f>
        <v>0</v>
      </c>
      <c r="N49" s="62" t="n">
        <f aca="false">M49+L49</f>
        <v>0</v>
      </c>
      <c r="O49" s="62" t="n">
        <f aca="false">'JULYYTD '!O49-JUNEYTD!O49</f>
        <v>0</v>
      </c>
      <c r="P49" s="62" t="n">
        <f aca="false">'JULYYTD '!P49-JUNEYTD!P49</f>
        <v>0</v>
      </c>
      <c r="Q49" s="62" t="n">
        <f aca="false">'JULYYTD '!Q49-JUNEYTD!Q49</f>
        <v>0</v>
      </c>
      <c r="S49" s="62" t="n">
        <f aca="false">'JULYYTD '!S49-JUNEYTD!S49</f>
        <v>0</v>
      </c>
    </row>
    <row r="50" customFormat="false" ht="12.75" hidden="false" customHeight="true" outlineLevel="3" collapsed="false">
      <c r="A50" s="57" t="s">
        <v>86</v>
      </c>
      <c r="B50" s="72" t="n">
        <f aca="false">SUM(B45:B49)</f>
        <v>2533</v>
      </c>
      <c r="C50" s="58"/>
      <c r="D50" s="72" t="n">
        <f aca="false">SUM(D45:D49)</f>
        <v>0</v>
      </c>
      <c r="E50" s="72" t="n">
        <f aca="false">SUM(E45:E49)</f>
        <v>0</v>
      </c>
      <c r="F50" s="72" t="n">
        <f aca="false">SUM(F45:F49)</f>
        <v>0</v>
      </c>
      <c r="G50" s="72" t="n">
        <f aca="false">SUM(G45:G49)</f>
        <v>0</v>
      </c>
      <c r="H50" s="72" t="n">
        <f aca="false">SUM(H45:H49)</f>
        <v>0</v>
      </c>
      <c r="I50" s="72" t="n">
        <f aca="false">SUM(I45:I49)</f>
        <v>0</v>
      </c>
      <c r="J50" s="72" t="n">
        <f aca="false">SUM(J45:J49)</f>
        <v>0</v>
      </c>
      <c r="K50" s="72" t="n">
        <f aca="false">SUM(K45:K49)</f>
        <v>0</v>
      </c>
      <c r="L50" s="72" t="n">
        <f aca="false">SUM(L45:L49)</f>
        <v>0</v>
      </c>
      <c r="M50" s="72" t="n">
        <f aca="false">SUM(M45:M49)</f>
        <v>0</v>
      </c>
      <c r="N50" s="72" t="n">
        <f aca="false">SUM(N45:N49)</f>
        <v>0</v>
      </c>
      <c r="O50" s="72" t="n">
        <f aca="false">SUM(O45:O49)</f>
        <v>0</v>
      </c>
      <c r="P50" s="72" t="n">
        <f aca="false">SUM(P45:P49)</f>
        <v>0</v>
      </c>
      <c r="Q50" s="72" t="n">
        <f aca="false">SUM(Q45:Q49)</f>
        <v>0</v>
      </c>
      <c r="S50" s="72" t="n">
        <f aca="false">SUM(S45:S49)</f>
        <v>2533</v>
      </c>
    </row>
    <row r="51" customFormat="false" ht="12.75" hidden="false" customHeight="true" outlineLevel="3" collapsed="false">
      <c r="A51" s="57"/>
      <c r="B51" s="71"/>
      <c r="C51" s="58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S51" s="71"/>
    </row>
    <row r="52" customFormat="false" ht="12.75" hidden="false" customHeight="true" outlineLevel="2" collapsed="false">
      <c r="A52" s="57" t="s">
        <v>87</v>
      </c>
      <c r="B52" s="71" t="n">
        <f aca="false">B33+B42+B50</f>
        <v>39768.685</v>
      </c>
      <c r="C52" s="58"/>
      <c r="D52" s="71" t="n">
        <f aca="false">D33+D42+D50</f>
        <v>40072.74</v>
      </c>
      <c r="E52" s="71" t="n">
        <f aca="false">E33+E42+E50</f>
        <v>-6229.65300000002</v>
      </c>
      <c r="F52" s="71" t="n">
        <f aca="false">F33+F42+F50</f>
        <v>-3426.81299999999</v>
      </c>
      <c r="G52" s="71" t="n">
        <f aca="false">G33+G42+G50</f>
        <v>0</v>
      </c>
      <c r="H52" s="71" t="n">
        <f aca="false">H33+H42+H50</f>
        <v>-1547.43</v>
      </c>
      <c r="I52" s="71" t="n">
        <f aca="false">I33+I42+I50</f>
        <v>-1.084</v>
      </c>
      <c r="J52" s="71" t="n">
        <f aca="false">J33+J42+J50</f>
        <v>-146.608</v>
      </c>
      <c r="K52" s="71" t="n">
        <f aca="false">K33+K42+K50</f>
        <v>-54.9800000000001</v>
      </c>
      <c r="L52" s="71" t="n">
        <f aca="false">L33+L42+L50</f>
        <v>-33151.586</v>
      </c>
      <c r="M52" s="71" t="n">
        <f aca="false">M33+M42+M50</f>
        <v>0</v>
      </c>
      <c r="N52" s="71" t="n">
        <f aca="false">M52+L52</f>
        <v>-33151.586</v>
      </c>
      <c r="O52" s="71" t="n">
        <f aca="false">O33+O42+O50</f>
        <v>-2596.242</v>
      </c>
      <c r="P52" s="71" t="n">
        <f aca="false">P33+P42+P50</f>
        <v>87229.046</v>
      </c>
      <c r="Q52" s="71" t="n">
        <f aca="false">Q33+Q42+Q50</f>
        <v>-1.91000000000005</v>
      </c>
      <c r="S52" s="71" t="n">
        <f aca="false">S33+S42+S50</f>
        <v>-304.055000000001</v>
      </c>
    </row>
    <row r="53" customFormat="false" ht="12.75" hidden="false" customHeight="true" outlineLevel="2" collapsed="false">
      <c r="A53" s="57"/>
      <c r="B53" s="71"/>
      <c r="C53" s="58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S53" s="71"/>
    </row>
    <row r="54" customFormat="false" ht="12.75" hidden="false" customHeight="true" outlineLevel="2" collapsed="false">
      <c r="A54" s="57" t="s">
        <v>88</v>
      </c>
      <c r="B54" s="63" t="n">
        <f aca="false">D54+S54</f>
        <v>161</v>
      </c>
      <c r="C54" s="58"/>
      <c r="D54" s="64" t="n">
        <f aca="false">SUM(E54:M54)+O54+P54+Q54</f>
        <v>94</v>
      </c>
      <c r="E54" s="77" t="n">
        <v>0</v>
      </c>
      <c r="F54" s="77" t="n">
        <v>0</v>
      </c>
      <c r="G54" s="77" t="n">
        <v>0</v>
      </c>
      <c r="H54" s="77" t="n">
        <v>0</v>
      </c>
      <c r="I54" s="77" t="n">
        <v>0</v>
      </c>
      <c r="J54" s="77" t="n">
        <v>0</v>
      </c>
      <c r="K54" s="77" t="n">
        <v>0</v>
      </c>
      <c r="L54" s="77" t="n">
        <v>0</v>
      </c>
      <c r="M54" s="77" t="n">
        <v>0</v>
      </c>
      <c r="N54" s="77" t="n">
        <v>0</v>
      </c>
      <c r="O54" s="50" t="n">
        <v>0</v>
      </c>
      <c r="P54" s="77" t="n">
        <f aca="false">'JULYYTD '!P54-JUNEYTD!P54</f>
        <v>84</v>
      </c>
      <c r="Q54" s="77" t="n">
        <f aca="false">'JULYYTD '!Q54-JUNEYTD!Q54</f>
        <v>10</v>
      </c>
      <c r="S54" s="77" t="n">
        <f aca="false">'JULYYTD '!S54-JUNEYTD!S54</f>
        <v>67</v>
      </c>
    </row>
    <row r="55" customFormat="false" ht="12.75" hidden="false" customHeight="true" outlineLevel="2" collapsed="false">
      <c r="A55" s="57"/>
      <c r="B55" s="58"/>
      <c r="C55" s="58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S55" s="42"/>
    </row>
    <row r="56" customFormat="false" ht="12.75" hidden="false" customHeight="true" outlineLevel="1" collapsed="false">
      <c r="A56" s="57" t="s">
        <v>89</v>
      </c>
      <c r="B56" s="74" t="n">
        <f aca="false">+B52-B54</f>
        <v>39607.685</v>
      </c>
      <c r="C56" s="58"/>
      <c r="D56" s="74" t="n">
        <f aca="false">+D52-D54</f>
        <v>39978.74</v>
      </c>
      <c r="E56" s="74" t="n">
        <f aca="false">E54+E52</f>
        <v>-6229.65300000002</v>
      </c>
      <c r="F56" s="74" t="n">
        <f aca="false">F54+F52</f>
        <v>-3426.81299999999</v>
      </c>
      <c r="G56" s="74" t="n">
        <f aca="false">G54+G52</f>
        <v>0</v>
      </c>
      <c r="H56" s="74" t="n">
        <f aca="false">H54+H52</f>
        <v>-1547.43</v>
      </c>
      <c r="I56" s="74" t="n">
        <f aca="false">I54+I52</f>
        <v>-1.084</v>
      </c>
      <c r="J56" s="74" t="n">
        <f aca="false">J54+J52</f>
        <v>-146.608</v>
      </c>
      <c r="K56" s="74" t="n">
        <f aca="false">K54+K52</f>
        <v>-54.9800000000001</v>
      </c>
      <c r="L56" s="74" t="n">
        <f aca="false">L54+L52</f>
        <v>-33151.586</v>
      </c>
      <c r="M56" s="74" t="n">
        <f aca="false">M54+M52</f>
        <v>0</v>
      </c>
      <c r="N56" s="74" t="n">
        <f aca="false">N54+N52</f>
        <v>-33151.586</v>
      </c>
      <c r="O56" s="74" t="n">
        <f aca="false">O54+O52</f>
        <v>-2596.242</v>
      </c>
      <c r="P56" s="74" t="n">
        <f aca="false">P52-P54</f>
        <v>87145.046</v>
      </c>
      <c r="Q56" s="74" t="n">
        <f aca="false">+Q52-Q54</f>
        <v>-11.9100000000001</v>
      </c>
      <c r="S56" s="74" t="n">
        <f aca="false">+S52-S54</f>
        <v>-371.055000000001</v>
      </c>
    </row>
    <row r="57" customFormat="false" ht="12.75" hidden="false" customHeight="true" outlineLevel="1" collapsed="false">
      <c r="B57" s="42"/>
      <c r="C57" s="42"/>
    </row>
    <row r="58" customFormat="false" ht="12.75" hidden="false" customHeight="true" outlineLevel="0" collapsed="false">
      <c r="A58" s="40" t="s">
        <v>90</v>
      </c>
      <c r="B58" s="64" t="n">
        <f aca="false">D58+S58</f>
        <v>-6</v>
      </c>
      <c r="C58" s="42"/>
      <c r="D58" s="64" t="n">
        <f aca="false">SUM(E58:Q58)</f>
        <v>-6</v>
      </c>
      <c r="E58" s="64" t="n">
        <f aca="false">'JULYYTD '!E58-JUNEYTD!E58</f>
        <v>-6</v>
      </c>
      <c r="F58" s="64" t="n">
        <f aca="false">'JULYYTD '!F58-JUNEYTD!F58</f>
        <v>0</v>
      </c>
      <c r="G58" s="64" t="n">
        <f aca="false">'JULYYTD '!G58-JUNEYTD!G58</f>
        <v>0</v>
      </c>
      <c r="H58" s="64" t="n">
        <f aca="false">'JULYYTD '!H58-JUNEYTD!H58</f>
        <v>0</v>
      </c>
      <c r="I58" s="64" t="n">
        <f aca="false">'JULYYTD '!I58-JUNEYTD!I58</f>
        <v>0</v>
      </c>
      <c r="J58" s="64" t="n">
        <f aca="false">'JULYYTD '!J58-JUNEYTD!J58</f>
        <v>2</v>
      </c>
      <c r="K58" s="64" t="n">
        <f aca="false">'JULYYTD '!K58-JUNEYTD!K58</f>
        <v>-2</v>
      </c>
      <c r="L58" s="64" t="n">
        <f aca="false">'JULYYTD '!L58-JUNEYTD!L58</f>
        <v>0</v>
      </c>
      <c r="M58" s="64" t="n">
        <f aca="false">'JULYYTD '!M58-JUNEYTD!M58</f>
        <v>0</v>
      </c>
      <c r="N58" s="77" t="n">
        <v>0</v>
      </c>
      <c r="O58" s="64" t="n">
        <f aca="false">'JULYYTD '!O58-JUNEYTD!O58</f>
        <v>0</v>
      </c>
      <c r="P58" s="64" t="n">
        <f aca="false">'JULYYTD '!P58-JUNEYTD!P58</f>
        <v>0</v>
      </c>
      <c r="Q58" s="64" t="n">
        <f aca="false">'JULYYTD '!Q58-JUNEYTD!Q58</f>
        <v>0</v>
      </c>
      <c r="S58" s="50" t="n">
        <v>0</v>
      </c>
    </row>
    <row r="59" customFormat="false" ht="12.75" hidden="false" customHeight="true" outlineLevel="0" collapsed="false">
      <c r="B59" s="42"/>
      <c r="C59" s="42"/>
    </row>
    <row r="60" customFormat="false" ht="12.75" hidden="false" customHeight="true" outlineLevel="0" collapsed="false">
      <c r="A60" s="40" t="s">
        <v>91</v>
      </c>
      <c r="B60" s="74" t="n">
        <f aca="false">B56+B58</f>
        <v>39601.685</v>
      </c>
      <c r="C60" s="42"/>
      <c r="D60" s="74" t="n">
        <f aca="false">D56+D58</f>
        <v>39972.74</v>
      </c>
      <c r="E60" s="74" t="n">
        <f aca="false">E56+E58</f>
        <v>-6235.65300000002</v>
      </c>
      <c r="F60" s="74" t="n">
        <f aca="false">F56+F58</f>
        <v>-3426.81299999999</v>
      </c>
      <c r="G60" s="74" t="n">
        <f aca="false">G56+G58</f>
        <v>0</v>
      </c>
      <c r="H60" s="74" t="n">
        <f aca="false">H56+H58</f>
        <v>-1547.43</v>
      </c>
      <c r="I60" s="74" t="n">
        <f aca="false">I56+I58</f>
        <v>-1.084</v>
      </c>
      <c r="J60" s="74" t="n">
        <f aca="false">J56+J58</f>
        <v>-144.608</v>
      </c>
      <c r="K60" s="74" t="n">
        <f aca="false">K56+K58</f>
        <v>-56.9800000000001</v>
      </c>
      <c r="L60" s="74" t="n">
        <f aca="false">L56+L58</f>
        <v>-33151.586</v>
      </c>
      <c r="M60" s="74" t="n">
        <f aca="false">M56+M58</f>
        <v>0</v>
      </c>
      <c r="N60" s="74" t="n">
        <f aca="false">M60+L60</f>
        <v>-33151.586</v>
      </c>
      <c r="O60" s="74" t="n">
        <f aca="false">O56+O58</f>
        <v>-2596.242</v>
      </c>
      <c r="P60" s="74" t="n">
        <f aca="false">P56+P58</f>
        <v>87145.046</v>
      </c>
      <c r="Q60" s="74" t="n">
        <f aca="false">Q56+Q58</f>
        <v>-11.9100000000001</v>
      </c>
      <c r="S60" s="74" t="n">
        <f aca="false">S56+S58</f>
        <v>-371.055000000001</v>
      </c>
    </row>
    <row r="61" customFormat="false" ht="12.75" hidden="false" customHeight="true" outlineLevel="0" collapsed="false">
      <c r="B61" s="42"/>
      <c r="C61" s="42"/>
    </row>
    <row r="62" customFormat="false" ht="12.75" hidden="false" customHeight="true" outlineLevel="0" collapsed="false">
      <c r="B62" s="42"/>
      <c r="C62" s="42"/>
    </row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540277777777778" bottom="0.49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78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N22" activeCellId="0" sqref="N22"/>
    </sheetView>
  </sheetViews>
  <sheetFormatPr defaultColWidth="8.9921875" defaultRowHeight="12.75" customHeight="true" zeroHeight="false" outlineLevelRow="4" outlineLevelCol="0"/>
  <cols>
    <col collapsed="false" customWidth="true" hidden="false" outlineLevel="0" max="1" min="1" style="40" width="60.5"/>
    <col collapsed="false" customWidth="true" hidden="false" outlineLevel="0" max="2" min="2" style="40" width="14.49"/>
    <col collapsed="false" customWidth="true" hidden="false" outlineLevel="0" max="3" min="3" style="40" width="1.82"/>
    <col collapsed="false" customWidth="true" hidden="false" outlineLevel="0" max="4" min="4" style="40" width="11.82"/>
    <col collapsed="false" customWidth="true" hidden="false" outlineLevel="0" max="5" min="5" style="40" width="10.65"/>
    <col collapsed="false" customWidth="true" hidden="false" outlineLevel="0" max="6" min="6" style="40" width="10.82"/>
    <col collapsed="false" customWidth="true" hidden="false" outlineLevel="0" max="7" min="7" style="40" width="12.82"/>
    <col collapsed="false" customWidth="true" hidden="false" outlineLevel="0" max="10" min="8" style="40" width="10.82"/>
    <col collapsed="false" customWidth="true" hidden="false" outlineLevel="0" max="11" min="11" style="40" width="10.49"/>
    <col collapsed="false" customWidth="true" hidden="true" outlineLevel="0" max="12" min="12" style="40" width="12.49"/>
    <col collapsed="false" customWidth="true" hidden="true" outlineLevel="0" max="13" min="13" style="40" width="9.99"/>
    <col collapsed="false" customWidth="true" hidden="false" outlineLevel="0" max="14" min="14" style="40" width="9.99"/>
    <col collapsed="false" customWidth="true" hidden="false" outlineLevel="0" max="16" min="15" style="40" width="12.16"/>
    <col collapsed="false" customWidth="true" hidden="false" outlineLevel="0" max="17" min="17" style="40" width="10.82"/>
    <col collapsed="false" customWidth="true" hidden="false" outlineLevel="0" max="18" min="18" style="40" width="3.65"/>
    <col collapsed="false" customWidth="true" hidden="false" outlineLevel="0" max="19" min="19" style="40" width="10.65"/>
    <col collapsed="false" customWidth="false" hidden="false" outlineLevel="0" max="257" min="20" style="40" width="8.99"/>
  </cols>
  <sheetData>
    <row r="1" customFormat="false" ht="12.75" hidden="false" customHeight="true" outlineLevel="0" collapsed="false">
      <c r="A1" s="41" t="s">
        <v>18</v>
      </c>
      <c r="B1" s="42"/>
      <c r="C1" s="42"/>
      <c r="D1" s="42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customFormat="false" ht="12.75" hidden="false" customHeight="true" outlineLevel="0" collapsed="false">
      <c r="A2" s="44" t="s">
        <v>19</v>
      </c>
      <c r="D2" s="45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customFormat="false" ht="12.75" hidden="false" customHeight="true" outlineLevel="0" collapsed="false">
      <c r="A3" s="47" t="s">
        <v>112</v>
      </c>
      <c r="B3" s="42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</row>
    <row r="4" customFormat="false" ht="12.75" hidden="false" customHeight="true" outlineLevel="0" collapsed="false">
      <c r="A4" s="42"/>
      <c r="B4" s="49" t="s">
        <v>97</v>
      </c>
      <c r="C4" s="50"/>
      <c r="D4" s="51"/>
      <c r="I4" s="52" t="s">
        <v>98</v>
      </c>
      <c r="J4" s="52" t="s">
        <v>28</v>
      </c>
      <c r="K4" s="52" t="s">
        <v>29</v>
      </c>
      <c r="L4" s="52" t="s">
        <v>30</v>
      </c>
      <c r="M4" s="52" t="s">
        <v>31</v>
      </c>
      <c r="N4" s="52" t="s">
        <v>30</v>
      </c>
      <c r="O4" s="52" t="s">
        <v>32</v>
      </c>
      <c r="P4" s="52" t="s">
        <v>99</v>
      </c>
      <c r="S4" s="53" t="s">
        <v>21</v>
      </c>
    </row>
    <row r="5" customFormat="false" ht="12.75" hidden="false" customHeight="true" outlineLevel="0" collapsed="false">
      <c r="A5" s="54" t="s">
        <v>34</v>
      </c>
      <c r="B5" s="55" t="s">
        <v>100</v>
      </c>
      <c r="C5" s="52"/>
      <c r="D5" s="51" t="s">
        <v>35</v>
      </c>
      <c r="E5" s="51" t="s">
        <v>22</v>
      </c>
      <c r="F5" s="51" t="s">
        <v>23</v>
      </c>
      <c r="G5" s="51" t="s">
        <v>24</v>
      </c>
      <c r="H5" s="51" t="s">
        <v>25</v>
      </c>
      <c r="I5" s="51" t="n">
        <v>543</v>
      </c>
      <c r="J5" s="51" t="n">
        <v>584</v>
      </c>
      <c r="K5" s="51" t="n">
        <v>583</v>
      </c>
      <c r="L5" s="51" t="s">
        <v>36</v>
      </c>
      <c r="M5" s="51"/>
      <c r="N5" s="51" t="s">
        <v>37</v>
      </c>
      <c r="O5" s="51" t="s">
        <v>38</v>
      </c>
      <c r="P5" s="51" t="s">
        <v>101</v>
      </c>
      <c r="Q5" s="51" t="s">
        <v>33</v>
      </c>
      <c r="S5" s="56" t="s">
        <v>102</v>
      </c>
    </row>
    <row r="6" customFormat="false" ht="12.75" hidden="false" customHeight="true" outlineLevel="2" collapsed="false">
      <c r="A6" s="57"/>
      <c r="B6" s="58"/>
      <c r="C6" s="58"/>
      <c r="D6" s="59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</row>
    <row r="7" customFormat="false" ht="12.75" hidden="false" customHeight="true" outlineLevel="4" collapsed="false">
      <c r="A7" s="61" t="s">
        <v>39</v>
      </c>
      <c r="B7" s="58"/>
      <c r="C7" s="58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</row>
    <row r="8" customFormat="false" ht="12.75" hidden="false" customHeight="true" outlineLevel="4" collapsed="false">
      <c r="A8" s="57" t="s">
        <v>40</v>
      </c>
      <c r="B8" s="58" t="n">
        <f aca="false">D8+S8</f>
        <v>158504.097</v>
      </c>
      <c r="C8" s="58"/>
      <c r="D8" s="62" t="n">
        <f aca="false">SUM(E8:M8)+O8+P8+Q8</f>
        <v>158597.585</v>
      </c>
      <c r="E8" s="62" t="n">
        <f aca="false">+'[7]07YTD '!J65</f>
        <v>100281.353</v>
      </c>
      <c r="F8" s="62" t="n">
        <f aca="false">+'[7]07YTD '!K65</f>
        <v>35416.795</v>
      </c>
      <c r="G8" s="62" t="n">
        <f aca="false">+'[7]07YTD '!L65</f>
        <v>18411.357</v>
      </c>
      <c r="H8" s="62" t="n">
        <f aca="false">+'[7]07YTD '!M65</f>
        <v>2024.508</v>
      </c>
      <c r="I8" s="62" t="n">
        <f aca="false">+'[7]07YTD '!N65</f>
        <v>1.618</v>
      </c>
      <c r="J8" s="62" t="n">
        <f aca="false">+'[7]07YTD '!O65</f>
        <v>660.751</v>
      </c>
      <c r="K8" s="62" t="n">
        <f aca="false">+'[7]07YTD '!P65</f>
        <v>79.481</v>
      </c>
      <c r="L8" s="62" t="n">
        <f aca="false">+'[7]07YTD '!Q65</f>
        <v>0</v>
      </c>
      <c r="M8" s="62" t="n">
        <f aca="false">+[8]06YTD!R65</f>
        <v>0</v>
      </c>
      <c r="N8" s="62" t="n">
        <f aca="false">+'[7]07YTD '!T65</f>
        <v>0</v>
      </c>
      <c r="O8" s="62" t="n">
        <f aca="false">+'[7]07YTD '!U65</f>
        <v>1979.56</v>
      </c>
      <c r="P8" s="62" t="n">
        <f aca="false">+'[7]07YTD '!V65</f>
        <v>-25.954</v>
      </c>
      <c r="Q8" s="62" t="n">
        <f aca="false">+'[7]07YTD '!W65</f>
        <v>-231.884</v>
      </c>
      <c r="S8" s="62" t="n">
        <f aca="false">+'[3]JULY_YTD  '!$H$8</f>
        <v>-93.4880000000002</v>
      </c>
    </row>
    <row r="9" customFormat="false" ht="12.75" hidden="false" customHeight="true" outlineLevel="4" collapsed="false">
      <c r="A9" s="57" t="s">
        <v>41</v>
      </c>
      <c r="B9" s="63" t="n">
        <f aca="false">D9+S9</f>
        <v>16878.752</v>
      </c>
      <c r="C9" s="58"/>
      <c r="D9" s="64" t="n">
        <f aca="false">SUM(E9:M9)+O9+P9+Q9</f>
        <v>16889.264</v>
      </c>
      <c r="E9" s="64" t="n">
        <f aca="false">-'[7]07YTD '!J72</f>
        <v>-8416.242</v>
      </c>
      <c r="F9" s="64" t="n">
        <f aca="false">-'[7]07YTD '!K72</f>
        <v>207.146</v>
      </c>
      <c r="G9" s="64" t="n">
        <f aca="false">-'[7]07YTD '!L72</f>
        <v>-0</v>
      </c>
      <c r="H9" s="64" t="n">
        <f aca="false">-'[7]07YTD '!M72</f>
        <v>2048.597</v>
      </c>
      <c r="I9" s="64" t="n">
        <f aca="false">-'[7]07YTD '!N72</f>
        <v>-0</v>
      </c>
      <c r="J9" s="64" t="n">
        <f aca="false">-'[7]07YTD '!O72</f>
        <v>189.817</v>
      </c>
      <c r="K9" s="64" t="n">
        <f aca="false">-'[7]07YTD '!P72</f>
        <v>-0</v>
      </c>
      <c r="L9" s="64" t="n">
        <f aca="false">-'[7]07YTD '!Q72</f>
        <v>-0</v>
      </c>
      <c r="M9" s="64" t="n">
        <f aca="false">-[8]06YTD!R72</f>
        <v>-0</v>
      </c>
      <c r="N9" s="64" t="n">
        <f aca="false">-'[7]07YTD '!T72</f>
        <v>-0</v>
      </c>
      <c r="O9" s="64" t="n">
        <f aca="false">-'[7]07YTD '!U72</f>
        <v>22859.946</v>
      </c>
      <c r="P9" s="64" t="n">
        <f aca="false">-'[7]07YTD '!V72</f>
        <v>-0</v>
      </c>
      <c r="Q9" s="64" t="n">
        <f aca="false">-'[7]07YTD '!W72</f>
        <v>-0</v>
      </c>
      <c r="S9" s="64" t="n">
        <f aca="false">-'[10]07YTD '!$N$73</f>
        <v>-10.512</v>
      </c>
    </row>
    <row r="10" customFormat="false" ht="12.75" hidden="false" customHeight="true" outlineLevel="4" collapsed="false">
      <c r="A10" s="57" t="s">
        <v>42</v>
      </c>
      <c r="B10" s="65" t="n">
        <f aca="false">B8+B9</f>
        <v>175382.849</v>
      </c>
      <c r="C10" s="58"/>
      <c r="D10" s="65" t="n">
        <f aca="false">D8+D9</f>
        <v>175486.849</v>
      </c>
      <c r="E10" s="65" t="n">
        <f aca="false">E8+E9</f>
        <v>91865.111</v>
      </c>
      <c r="F10" s="65" t="n">
        <f aca="false">F8+F9</f>
        <v>35623.941</v>
      </c>
      <c r="G10" s="65" t="n">
        <f aca="false">G8+G9</f>
        <v>18411.357</v>
      </c>
      <c r="H10" s="65" t="n">
        <f aca="false">H8+H9</f>
        <v>4073.105</v>
      </c>
      <c r="I10" s="65" t="n">
        <f aca="false">I8+I9</f>
        <v>1.618</v>
      </c>
      <c r="J10" s="65" t="n">
        <f aca="false">J8+J9</f>
        <v>850.568</v>
      </c>
      <c r="K10" s="65" t="n">
        <f aca="false">K8+K9</f>
        <v>79.481</v>
      </c>
      <c r="L10" s="65" t="n">
        <f aca="false">L8+L9</f>
        <v>0</v>
      </c>
      <c r="M10" s="65" t="n">
        <f aca="false">M8+M9</f>
        <v>0</v>
      </c>
      <c r="N10" s="65" t="n">
        <f aca="false">N8+N9</f>
        <v>0</v>
      </c>
      <c r="O10" s="65" t="n">
        <f aca="false">O8+O9</f>
        <v>24839.506</v>
      </c>
      <c r="P10" s="65" t="n">
        <f aca="false">P8+P9</f>
        <v>-25.954</v>
      </c>
      <c r="Q10" s="65" t="n">
        <f aca="false">Q8+Q9</f>
        <v>-231.884</v>
      </c>
      <c r="S10" s="65" t="n">
        <f aca="false">S8+S9</f>
        <v>-104</v>
      </c>
    </row>
    <row r="11" customFormat="false" ht="12.75" hidden="false" customHeight="true" outlineLevel="4" collapsed="false">
      <c r="A11" s="57"/>
      <c r="B11" s="65"/>
      <c r="C11" s="58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S11" s="65"/>
    </row>
    <row r="12" customFormat="false" ht="12.75" hidden="false" customHeight="true" outlineLevel="4" collapsed="false">
      <c r="A12" s="57" t="s">
        <v>43</v>
      </c>
      <c r="B12" s="58" t="n">
        <f aca="false">D12+S12</f>
        <v>38056.494</v>
      </c>
      <c r="C12" s="58"/>
      <c r="D12" s="62" t="n">
        <f aca="false">SUM(E12:M12)+O12+P12+Q12</f>
        <v>38056.494</v>
      </c>
      <c r="E12" s="62" t="n">
        <f aca="false">+'[7]07YTD '!J36</f>
        <v>26787.807</v>
      </c>
      <c r="F12" s="62" t="n">
        <f aca="false">+'[7]07YTD '!K36</f>
        <v>11268.687</v>
      </c>
      <c r="G12" s="62" t="n">
        <f aca="false">+'[7]07YTD '!L36</f>
        <v>0</v>
      </c>
      <c r="H12" s="62" t="n">
        <f aca="false">+'[7]07YTD '!M36</f>
        <v>0</v>
      </c>
      <c r="I12" s="62" t="n">
        <f aca="false">+'[7]07YTD '!N36</f>
        <v>0</v>
      </c>
      <c r="J12" s="62" t="n">
        <f aca="false">+'[7]07YTD '!O36</f>
        <v>0</v>
      </c>
      <c r="K12" s="62" t="n">
        <f aca="false">+'[7]07YTD '!P36</f>
        <v>0</v>
      </c>
      <c r="L12" s="62" t="n">
        <f aca="false">+'[7]07YTD '!Q36</f>
        <v>0</v>
      </c>
      <c r="M12" s="62" t="n">
        <f aca="false">+[8]06YTD!R36</f>
        <v>0</v>
      </c>
      <c r="N12" s="62" t="n">
        <f aca="false">+'[7]07YTD '!T36</f>
        <v>0</v>
      </c>
      <c r="O12" s="62" t="n">
        <f aca="false">+'[7]07YTD '!U36</f>
        <v>0</v>
      </c>
      <c r="P12" s="62" t="n">
        <f aca="false">+'[7]07YTD '!V36</f>
        <v>0</v>
      </c>
      <c r="Q12" s="62" t="n">
        <f aca="false">+'[7]07YTD '!W36</f>
        <v>0</v>
      </c>
      <c r="S12" s="62" t="n">
        <f aca="false">+'[3]JULY_YTD  '!$H$11</f>
        <v>0</v>
      </c>
    </row>
    <row r="13" customFormat="false" ht="12.75" hidden="false" customHeight="true" outlineLevel="4" collapsed="false">
      <c r="A13" s="57" t="s">
        <v>45</v>
      </c>
      <c r="B13" s="58" t="n">
        <f aca="false">D13+S13</f>
        <v>23221.708</v>
      </c>
      <c r="C13" s="58"/>
      <c r="D13" s="62" t="n">
        <f aca="false">SUM(E13:M13)+O13+P13+Q13</f>
        <v>23917.482</v>
      </c>
      <c r="E13" s="62" t="n">
        <f aca="false">+'[7]07YTD '!J62</f>
        <v>23660.897</v>
      </c>
      <c r="F13" s="62" t="n">
        <f aca="false">+'[7]07YTD '!K62</f>
        <v>-445.06</v>
      </c>
      <c r="G13" s="62" t="n">
        <f aca="false">+'[7]07YTD '!L62</f>
        <v>0</v>
      </c>
      <c r="H13" s="62" t="n">
        <f aca="false">+'[7]07YTD '!M62</f>
        <v>432.984</v>
      </c>
      <c r="I13" s="62" t="n">
        <f aca="false">+'[7]07YTD '!N62</f>
        <v>0</v>
      </c>
      <c r="J13" s="62" t="n">
        <f aca="false">+'[7]07YTD '!O62</f>
        <v>0</v>
      </c>
      <c r="K13" s="62" t="n">
        <f aca="false">+'[7]07YTD '!P62</f>
        <v>-4.25</v>
      </c>
      <c r="L13" s="62" t="n">
        <f aca="false">+'[7]07YTD '!Q62</f>
        <v>0</v>
      </c>
      <c r="M13" s="62" t="n">
        <f aca="false">+[8]06YTD!R62</f>
        <v>0</v>
      </c>
      <c r="N13" s="62" t="n">
        <f aca="false">+'[7]07YTD '!T62</f>
        <v>0</v>
      </c>
      <c r="O13" s="62" t="n">
        <f aca="false">+'[7]07YTD '!U62</f>
        <v>272.911</v>
      </c>
      <c r="P13" s="62" t="n">
        <f aca="false">+'[7]07YTD '!V62</f>
        <v>0</v>
      </c>
      <c r="Q13" s="62" t="n">
        <f aca="false">+'[7]07YTD '!W62</f>
        <v>0</v>
      </c>
      <c r="S13" s="62" t="n">
        <f aca="false">+'[3]JULY_YTD  '!$H$12</f>
        <v>-695.774</v>
      </c>
    </row>
    <row r="14" customFormat="false" ht="12.75" hidden="false" customHeight="true" outlineLevel="4" collapsed="false">
      <c r="A14" s="57" t="s">
        <v>47</v>
      </c>
      <c r="B14" s="58" t="n">
        <f aca="false">D14+S14</f>
        <v>-8.108</v>
      </c>
      <c r="C14" s="58"/>
      <c r="D14" s="62" t="n">
        <f aca="false">SUM(E14:M14)+O14+P14+Q14</f>
        <v>-8.108</v>
      </c>
      <c r="E14" s="62" t="n">
        <f aca="false">-'[7]07YTD '!J46</f>
        <v>-8.11</v>
      </c>
      <c r="F14" s="62" t="n">
        <f aca="false">-'[7]07YTD '!K46</f>
        <v>0.002</v>
      </c>
      <c r="G14" s="62" t="n">
        <f aca="false">-'[7]07YTD '!L46</f>
        <v>-0</v>
      </c>
      <c r="H14" s="62" t="n">
        <f aca="false">-'[7]07YTD '!M46</f>
        <v>-0</v>
      </c>
      <c r="I14" s="62" t="n">
        <f aca="false">-'[7]07YTD '!N46</f>
        <v>-0</v>
      </c>
      <c r="J14" s="62" t="n">
        <f aca="false">-'[7]07YTD '!O46</f>
        <v>-0</v>
      </c>
      <c r="K14" s="62" t="n">
        <f aca="false">-'[7]07YTD '!P46</f>
        <v>-0</v>
      </c>
      <c r="L14" s="62" t="n">
        <f aca="false">-'[7]07YTD '!Q46</f>
        <v>-0</v>
      </c>
      <c r="M14" s="62" t="n">
        <f aca="false">-[8]06YTD!R46</f>
        <v>-0</v>
      </c>
      <c r="N14" s="62" t="n">
        <f aca="false">-'[7]07YTD '!T46</f>
        <v>-0</v>
      </c>
      <c r="O14" s="62" t="n">
        <f aca="false">-'[7]07YTD '!U46</f>
        <v>-0</v>
      </c>
      <c r="P14" s="62" t="n">
        <f aca="false">-'[7]07YTD '!V46</f>
        <v>-0</v>
      </c>
      <c r="Q14" s="62" t="n">
        <f aca="false">-'[7]07YTD '!W46</f>
        <v>-0</v>
      </c>
      <c r="S14" s="62" t="n">
        <f aca="false">-'[3]JULY_YTD  '!$H$14</f>
        <v>-0</v>
      </c>
    </row>
    <row r="15" customFormat="false" ht="12.75" hidden="false" customHeight="true" outlineLevel="4" collapsed="false">
      <c r="A15" s="57" t="s">
        <v>48</v>
      </c>
      <c r="B15" s="58" t="n">
        <f aca="false">D15+S15</f>
        <v>0</v>
      </c>
      <c r="C15" s="58"/>
      <c r="D15" s="62" t="n">
        <f aca="false">SUM(E15:M15)+O15+P15+Q15</f>
        <v>0</v>
      </c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S15" s="62"/>
    </row>
    <row r="16" customFormat="false" ht="12.75" hidden="false" customHeight="true" outlineLevel="4" collapsed="false">
      <c r="A16" s="57" t="s">
        <v>51</v>
      </c>
      <c r="B16" s="58" t="n">
        <f aca="false">D16+S16</f>
        <v>-24739.81</v>
      </c>
      <c r="C16" s="58"/>
      <c r="D16" s="62" t="n">
        <f aca="false">SUM(E16:M16)+O16+P16+Q16</f>
        <v>-24653.259</v>
      </c>
      <c r="E16" s="62" t="n">
        <f aca="false">-'[7]07YTD '!J43</f>
        <v>-2203.165</v>
      </c>
      <c r="F16" s="62" t="n">
        <f aca="false">-'[7]07YTD '!K43</f>
        <v>-0</v>
      </c>
      <c r="G16" s="62" t="n">
        <f aca="false">-'[7]07YTD '!L43</f>
        <v>-18411.357</v>
      </c>
      <c r="H16" s="62" t="n">
        <f aca="false">-'[7]07YTD '!M43</f>
        <v>-4038.737</v>
      </c>
      <c r="I16" s="62" t="n">
        <f aca="false">-'[7]07YTD '!N43</f>
        <v>-0</v>
      </c>
      <c r="J16" s="62" t="n">
        <f aca="false">-'[7]07YTD '!O43</f>
        <v>-0</v>
      </c>
      <c r="K16" s="62" t="n">
        <f aca="false">-'[7]07YTD '!P43</f>
        <v>-0</v>
      </c>
      <c r="L16" s="62" t="n">
        <f aca="false">-'[7]07YTD '!Q43</f>
        <v>-0</v>
      </c>
      <c r="M16" s="62" t="n">
        <f aca="false">-[8]06YTD!R43</f>
        <v>-0</v>
      </c>
      <c r="N16" s="62" t="n">
        <f aca="false">-'[7]07YTD '!T43</f>
        <v>-0</v>
      </c>
      <c r="O16" s="62" t="n">
        <f aca="false">-'[7]07YTD '!U43</f>
        <v>-0</v>
      </c>
      <c r="P16" s="62" t="n">
        <f aca="false">-'[7]07YTD '!V43</f>
        <v>-0</v>
      </c>
      <c r="Q16" s="62" t="n">
        <f aca="false">-'[7]07YTD '!W43</f>
        <v>-0</v>
      </c>
      <c r="S16" s="62" t="n">
        <f aca="false">'[3]JULY_YTD  '!$H$15</f>
        <v>-86.551</v>
      </c>
    </row>
    <row r="17" customFormat="false" ht="12.75" hidden="false" customHeight="true" outlineLevel="4" collapsed="false">
      <c r="A17" s="57" t="s">
        <v>52</v>
      </c>
      <c r="B17" s="58" t="n">
        <f aca="false">D17+S17</f>
        <v>6666</v>
      </c>
      <c r="C17" s="58"/>
      <c r="D17" s="62" t="n">
        <f aca="false">SUM(E17:M17)+O17+P17+Q17</f>
        <v>3266</v>
      </c>
      <c r="E17" s="75" t="n">
        <v>1634</v>
      </c>
      <c r="F17" s="75"/>
      <c r="G17" s="75"/>
      <c r="H17" s="75" t="n">
        <v>1632</v>
      </c>
      <c r="I17" s="75"/>
      <c r="J17" s="75"/>
      <c r="K17" s="75"/>
      <c r="L17" s="75"/>
      <c r="M17" s="75"/>
      <c r="N17" s="62" t="n">
        <f aca="false">M17+L17</f>
        <v>0</v>
      </c>
      <c r="O17" s="75"/>
      <c r="P17" s="75"/>
      <c r="Q17" s="75"/>
      <c r="S17" s="62" t="n">
        <f aca="false">+'[3]JULY_YTD  '!$H$16</f>
        <v>3400</v>
      </c>
    </row>
    <row r="18" customFormat="false" ht="12.75" hidden="false" customHeight="true" outlineLevel="4" collapsed="false">
      <c r="A18" s="57" t="s">
        <v>53</v>
      </c>
      <c r="B18" s="63" t="n">
        <f aca="false">D18+S18</f>
        <v>-33022</v>
      </c>
      <c r="C18" s="58"/>
      <c r="D18" s="62" t="n">
        <f aca="false">SUM(E18:M18)+O18+P18+Q18</f>
        <v>-33035</v>
      </c>
      <c r="E18" s="64" t="n">
        <f aca="false">-4328-15838-14700</f>
        <v>-34866</v>
      </c>
      <c r="F18" s="64" t="n">
        <f aca="false">2770+2239</f>
        <v>5009</v>
      </c>
      <c r="G18" s="64" t="n">
        <v>0</v>
      </c>
      <c r="H18" s="64"/>
      <c r="I18" s="64" t="n">
        <v>1</v>
      </c>
      <c r="J18" s="64" t="n">
        <v>50</v>
      </c>
      <c r="K18" s="64" t="n">
        <v>-2</v>
      </c>
      <c r="L18" s="64" t="n">
        <v>-7964</v>
      </c>
      <c r="M18" s="82"/>
      <c r="N18" s="62" t="n">
        <f aca="false">M18+L18</f>
        <v>-7964</v>
      </c>
      <c r="O18" s="64" t="n">
        <v>4948</v>
      </c>
      <c r="P18" s="64" t="n">
        <v>0</v>
      </c>
      <c r="Q18" s="64" t="n">
        <v>-211</v>
      </c>
      <c r="S18" s="62" t="n">
        <f aca="false">+'[3]JULY_YTD  '!$H$17</f>
        <v>13</v>
      </c>
    </row>
    <row r="19" customFormat="false" ht="12.75" hidden="false" customHeight="true" outlineLevel="4" collapsed="false">
      <c r="A19" s="57" t="s">
        <v>54</v>
      </c>
      <c r="B19" s="66" t="n">
        <f aca="false">SUM(B10:B18)</f>
        <v>185557.133</v>
      </c>
      <c r="C19" s="58"/>
      <c r="D19" s="66" t="n">
        <f aca="false">SUM(D10:D18)</f>
        <v>183030.458</v>
      </c>
      <c r="E19" s="66" t="n">
        <f aca="false">SUM(E10:E18)</f>
        <v>106870.54</v>
      </c>
      <c r="F19" s="66" t="n">
        <f aca="false">SUM(F10:F18)</f>
        <v>51456.57</v>
      </c>
      <c r="G19" s="66" t="n">
        <f aca="false">SUM(G10:G18)</f>
        <v>0</v>
      </c>
      <c r="H19" s="66" t="n">
        <f aca="false">SUM(H10:H18)</f>
        <v>2099.352</v>
      </c>
      <c r="I19" s="66" t="n">
        <f aca="false">SUM(I10:I18)</f>
        <v>2.618</v>
      </c>
      <c r="J19" s="66" t="n">
        <f aca="false">SUM(J10:J18)</f>
        <v>900.568</v>
      </c>
      <c r="K19" s="66" t="n">
        <f aca="false">SUM(K10:K18)</f>
        <v>73.231</v>
      </c>
      <c r="L19" s="66" t="n">
        <f aca="false">SUM(L10:L18)</f>
        <v>-7964</v>
      </c>
      <c r="M19" s="66" t="n">
        <f aca="false">SUM(M10:M18)</f>
        <v>0</v>
      </c>
      <c r="N19" s="66" t="n">
        <f aca="false">SUM(N10:N18)</f>
        <v>-7964</v>
      </c>
      <c r="O19" s="66" t="n">
        <f aca="false">SUM(O10:O18)</f>
        <v>30060.417</v>
      </c>
      <c r="P19" s="66" t="n">
        <f aca="false">SUM(P10:P18)</f>
        <v>-25.954</v>
      </c>
      <c r="Q19" s="66" t="n">
        <f aca="false">SUM(Q10:Q18)</f>
        <v>-442.884</v>
      </c>
      <c r="S19" s="66" t="n">
        <f aca="false">SUM(S10:S18)</f>
        <v>2526.675</v>
      </c>
    </row>
    <row r="20" customFormat="false" ht="12.75" hidden="false" customHeight="true" outlineLevel="4" collapsed="false">
      <c r="A20" s="57"/>
      <c r="B20" s="42"/>
      <c r="C20" s="58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S20" s="42"/>
    </row>
    <row r="21" customFormat="false" ht="12.75" hidden="false" customHeight="true" outlineLevel="4" collapsed="false">
      <c r="A21" s="57" t="s">
        <v>103</v>
      </c>
      <c r="B21" s="58"/>
      <c r="C21" s="58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S21" s="42"/>
    </row>
    <row r="22" customFormat="false" ht="12.75" hidden="false" customHeight="true" outlineLevel="4" collapsed="false">
      <c r="A22" s="57" t="s">
        <v>56</v>
      </c>
      <c r="B22" s="58" t="n">
        <f aca="false">D22+S22</f>
        <v>26422</v>
      </c>
      <c r="C22" s="58"/>
      <c r="D22" s="62" t="n">
        <f aca="false">SUM(E22:M22)+O22+P22+Q22</f>
        <v>23675</v>
      </c>
      <c r="E22" s="62" t="n">
        <v>27018</v>
      </c>
      <c r="F22" s="62" t="n">
        <v>441</v>
      </c>
      <c r="G22" s="62"/>
      <c r="H22" s="62" t="n">
        <v>-119</v>
      </c>
      <c r="I22" s="62" t="n">
        <v>13</v>
      </c>
      <c r="J22" s="62" t="n">
        <v>-2066</v>
      </c>
      <c r="K22" s="62" t="n">
        <v>276</v>
      </c>
      <c r="L22" s="62" t="n">
        <v>26</v>
      </c>
      <c r="M22" s="62"/>
      <c r="N22" s="62" t="n">
        <f aca="false">M22+L22</f>
        <v>26</v>
      </c>
      <c r="O22" s="62" t="n">
        <v>-49</v>
      </c>
      <c r="P22" s="62" t="n">
        <v>-1973</v>
      </c>
      <c r="Q22" s="62" t="n">
        <v>108</v>
      </c>
      <c r="S22" s="62" t="n">
        <f aca="false">+'[3]JULY_YTD  '!$H$20</f>
        <v>2747</v>
      </c>
    </row>
    <row r="23" customFormat="false" ht="12.75" hidden="false" customHeight="true" outlineLevel="4" collapsed="false">
      <c r="A23" s="57" t="s">
        <v>58</v>
      </c>
      <c r="B23" s="58" t="n">
        <f aca="false">D23+S23</f>
        <v>-14837</v>
      </c>
      <c r="C23" s="58"/>
      <c r="D23" s="62" t="n">
        <f aca="false">SUM(E23:M23)+O23+P23+Q23</f>
        <v>-14837</v>
      </c>
      <c r="E23" s="62" t="n">
        <f aca="false">-1582-62471</f>
        <v>-64053</v>
      </c>
      <c r="F23" s="62" t="n">
        <f aca="false">-2779-15672</f>
        <v>-18451</v>
      </c>
      <c r="G23" s="62"/>
      <c r="H23" s="62" t="n">
        <v>-2133</v>
      </c>
      <c r="I23" s="62" t="n">
        <v>-16</v>
      </c>
      <c r="J23" s="62" t="n">
        <v>3190</v>
      </c>
      <c r="K23" s="62" t="n">
        <v>-808</v>
      </c>
      <c r="L23" s="62" t="n">
        <v>-22902</v>
      </c>
      <c r="M23" s="62"/>
      <c r="N23" s="62" t="n">
        <f aca="false">M23+L23</f>
        <v>-22902</v>
      </c>
      <c r="O23" s="62" t="n">
        <f aca="false">-76033+82422</f>
        <v>6389</v>
      </c>
      <c r="P23" s="62" t="n">
        <v>83597</v>
      </c>
      <c r="Q23" s="62" t="n">
        <v>350</v>
      </c>
      <c r="S23" s="62" t="n">
        <f aca="false">+'[3]JULY_YTD  '!$H$21</f>
        <v>0</v>
      </c>
    </row>
    <row r="24" customFormat="false" ht="12.75" hidden="false" customHeight="true" outlineLevel="4" collapsed="false">
      <c r="A24" s="57" t="s">
        <v>60</v>
      </c>
      <c r="B24" s="58" t="n">
        <f aca="false">D24+S24</f>
        <v>375</v>
      </c>
      <c r="C24" s="58"/>
      <c r="D24" s="62" t="n">
        <f aca="false">SUM(E24:M24)+O24+P24+Q24</f>
        <v>375</v>
      </c>
      <c r="E24" s="62" t="n">
        <v>72</v>
      </c>
      <c r="F24" s="62" t="n">
        <v>130</v>
      </c>
      <c r="G24" s="62"/>
      <c r="H24" s="62"/>
      <c r="I24" s="62"/>
      <c r="J24" s="62"/>
      <c r="K24" s="62"/>
      <c r="L24" s="62" t="n">
        <v>173</v>
      </c>
      <c r="M24" s="62"/>
      <c r="N24" s="62" t="n">
        <f aca="false">M24+L24</f>
        <v>173</v>
      </c>
      <c r="O24" s="62"/>
      <c r="P24" s="62"/>
      <c r="Q24" s="62"/>
      <c r="S24" s="62" t="n">
        <f aca="false">+'[3]JULY_YTD  '!$H$22</f>
        <v>0</v>
      </c>
    </row>
    <row r="25" customFormat="false" ht="12.75" hidden="false" customHeight="true" outlineLevel="4" collapsed="false">
      <c r="A25" s="57" t="s">
        <v>61</v>
      </c>
      <c r="B25" s="58" t="n">
        <f aca="false">D25+S25</f>
        <v>6</v>
      </c>
      <c r="C25" s="58"/>
      <c r="D25" s="62" t="n">
        <f aca="false">SUM(E25:M25)+O25+P25+Q25</f>
        <v>6</v>
      </c>
      <c r="E25" s="62" t="n">
        <v>0</v>
      </c>
      <c r="F25" s="62" t="n">
        <v>6</v>
      </c>
      <c r="G25" s="62"/>
      <c r="H25" s="62"/>
      <c r="I25" s="62"/>
      <c r="J25" s="62"/>
      <c r="K25" s="62"/>
      <c r="L25" s="62"/>
      <c r="M25" s="62"/>
      <c r="N25" s="62" t="n">
        <f aca="false">M25+L25</f>
        <v>0</v>
      </c>
      <c r="O25" s="62"/>
      <c r="P25" s="62"/>
      <c r="Q25" s="62"/>
      <c r="S25" s="62" t="n">
        <f aca="false">+'[3]JULY_YTD  '!$H$23</f>
        <v>0</v>
      </c>
    </row>
    <row r="26" customFormat="false" ht="12.75" hidden="false" customHeight="true" outlineLevel="4" collapsed="false">
      <c r="A26" s="57" t="s">
        <v>62</v>
      </c>
      <c r="B26" s="58" t="n">
        <f aca="false">D26+S26</f>
        <v>6735</v>
      </c>
      <c r="C26" s="58"/>
      <c r="D26" s="62" t="n">
        <f aca="false">SUM(E26:M26)+O26+P26+Q26</f>
        <v>6706</v>
      </c>
      <c r="E26" s="62" t="n">
        <v>4531</v>
      </c>
      <c r="F26" s="62" t="n">
        <v>-2666</v>
      </c>
      <c r="G26" s="62"/>
      <c r="H26" s="62" t="n">
        <v>360</v>
      </c>
      <c r="I26" s="62"/>
      <c r="J26" s="62" t="n">
        <v>-894</v>
      </c>
      <c r="K26" s="62" t="n">
        <v>10</v>
      </c>
      <c r="L26" s="62" t="n">
        <v>-110</v>
      </c>
      <c r="M26" s="62"/>
      <c r="N26" s="62" t="n">
        <f aca="false">M26+L26</f>
        <v>-110</v>
      </c>
      <c r="O26" s="62" t="n">
        <v>-38</v>
      </c>
      <c r="P26" s="62" t="n">
        <v>5631</v>
      </c>
      <c r="Q26" s="62" t="n">
        <v>-118</v>
      </c>
      <c r="S26" s="62" t="n">
        <f aca="false">+'[3]JULY_YTD  '!$H$24</f>
        <v>29</v>
      </c>
    </row>
    <row r="27" customFormat="false" ht="12.75" hidden="false" customHeight="true" outlineLevel="4" collapsed="false">
      <c r="A27" s="57" t="s">
        <v>104</v>
      </c>
      <c r="B27" s="58" t="n">
        <f aca="false">D27+S27</f>
        <v>5083</v>
      </c>
      <c r="C27" s="58"/>
      <c r="D27" s="62" t="n">
        <f aca="false">SUM(E27:M27)+O27+P27+Q27</f>
        <v>5083</v>
      </c>
      <c r="E27" s="62" t="n">
        <v>5618</v>
      </c>
      <c r="F27" s="62" t="n">
        <v>-535</v>
      </c>
      <c r="G27" s="62"/>
      <c r="H27" s="62" t="n">
        <v>0</v>
      </c>
      <c r="I27" s="62"/>
      <c r="J27" s="62"/>
      <c r="K27" s="62"/>
      <c r="L27" s="62"/>
      <c r="M27" s="62"/>
      <c r="N27" s="62" t="n">
        <f aca="false">M27+L27</f>
        <v>0</v>
      </c>
      <c r="O27" s="62"/>
      <c r="P27" s="62"/>
      <c r="Q27" s="62"/>
      <c r="S27" s="62" t="n">
        <f aca="false">+'[3]JULY_YTD  '!$H$25</f>
        <v>0</v>
      </c>
    </row>
    <row r="28" customFormat="false" ht="12.75" hidden="false" customHeight="true" outlineLevel="4" collapsed="false">
      <c r="A28" s="57" t="s">
        <v>64</v>
      </c>
      <c r="B28" s="58" t="n">
        <f aca="false">D28+S28</f>
        <v>-2165</v>
      </c>
      <c r="C28" s="58"/>
      <c r="D28" s="62" t="n">
        <f aca="false">SUM(E28:M28)+O28+P28+Q28</f>
        <v>-2166</v>
      </c>
      <c r="E28" s="62" t="n">
        <v>-354</v>
      </c>
      <c r="F28" s="62" t="n">
        <v>297</v>
      </c>
      <c r="G28" s="62"/>
      <c r="H28" s="62" t="n">
        <v>0</v>
      </c>
      <c r="I28" s="62"/>
      <c r="J28" s="62" t="n">
        <v>2</v>
      </c>
      <c r="K28" s="62" t="n">
        <v>-1</v>
      </c>
      <c r="L28" s="62" t="n">
        <v>-1572</v>
      </c>
      <c r="M28" s="62" t="n">
        <v>0</v>
      </c>
      <c r="N28" s="62" t="n">
        <f aca="false">M28+L28</f>
        <v>-1572</v>
      </c>
      <c r="O28" s="62" t="n">
        <v>-538</v>
      </c>
      <c r="P28" s="62"/>
      <c r="Q28" s="62"/>
      <c r="S28" s="62" t="n">
        <f aca="false">+'[3]JULY_YTD  '!$H$26</f>
        <v>1</v>
      </c>
    </row>
    <row r="29" customFormat="false" ht="12.75" hidden="false" customHeight="true" outlineLevel="4" collapsed="false">
      <c r="A29" s="57" t="s">
        <v>65</v>
      </c>
      <c r="B29" s="58" t="n">
        <f aca="false">D29+S29</f>
        <v>2914</v>
      </c>
      <c r="C29" s="58"/>
      <c r="D29" s="62" t="n">
        <f aca="false">SUM(E29:M29)+O29+P29+Q29</f>
        <v>2914</v>
      </c>
      <c r="E29" s="75" t="n">
        <v>2875</v>
      </c>
      <c r="F29" s="75" t="n">
        <v>39</v>
      </c>
      <c r="G29" s="75"/>
      <c r="H29" s="75"/>
      <c r="I29" s="75"/>
      <c r="J29" s="75"/>
      <c r="K29" s="75"/>
      <c r="L29" s="75"/>
      <c r="M29" s="75"/>
      <c r="N29" s="62" t="n">
        <f aca="false">M29+L29</f>
        <v>0</v>
      </c>
      <c r="O29" s="75"/>
      <c r="P29" s="75"/>
      <c r="Q29" s="75"/>
      <c r="S29" s="62" t="n">
        <f aca="false">+'[3]JULY_YTD  '!$H$27</f>
        <v>0</v>
      </c>
    </row>
    <row r="30" customFormat="false" ht="12.75" hidden="false" customHeight="true" outlineLevel="4" collapsed="false">
      <c r="A30" s="57" t="s">
        <v>66</v>
      </c>
      <c r="B30" s="63" t="n">
        <f aca="false">D30+S30</f>
        <v>-7082</v>
      </c>
      <c r="C30" s="58"/>
      <c r="D30" s="62" t="n">
        <f aca="false">SUM(E30:M30)+O30+P30+Q30</f>
        <v>-7082</v>
      </c>
      <c r="E30" s="64" t="n">
        <v>-7436</v>
      </c>
      <c r="F30" s="64" t="n">
        <v>336</v>
      </c>
      <c r="G30" s="64"/>
      <c r="H30" s="64" t="n">
        <v>-1060</v>
      </c>
      <c r="I30" s="64"/>
      <c r="J30" s="64" t="n">
        <v>-122</v>
      </c>
      <c r="K30" s="64" t="n">
        <v>2</v>
      </c>
      <c r="L30" s="64" t="n">
        <v>3</v>
      </c>
      <c r="M30" s="64"/>
      <c r="N30" s="64" t="n">
        <f aca="false">M30+L30</f>
        <v>3</v>
      </c>
      <c r="O30" s="64" t="n">
        <v>1199</v>
      </c>
      <c r="P30" s="64"/>
      <c r="Q30" s="64" t="n">
        <v>-4</v>
      </c>
      <c r="S30" s="62" t="n">
        <f aca="false">+'[3]JULY_YTD  '!$H$28</f>
        <v>0</v>
      </c>
    </row>
    <row r="31" customFormat="false" ht="12.75" hidden="false" customHeight="true" outlineLevel="4" collapsed="false">
      <c r="A31" s="57" t="s">
        <v>67</v>
      </c>
      <c r="B31" s="67" t="n">
        <f aca="false">SUM(B21:B30)</f>
        <v>17451</v>
      </c>
      <c r="C31" s="68"/>
      <c r="D31" s="67" t="n">
        <f aca="false">SUM(D21:D30)</f>
        <v>14674</v>
      </c>
      <c r="E31" s="67" t="n">
        <f aca="false">SUM(E21:E30)</f>
        <v>-31729</v>
      </c>
      <c r="F31" s="67" t="n">
        <f aca="false">SUM(F21:F30)</f>
        <v>-20403</v>
      </c>
      <c r="G31" s="67" t="n">
        <f aca="false">SUM(G21:G30)</f>
        <v>0</v>
      </c>
      <c r="H31" s="67" t="n">
        <f aca="false">SUM(H21:H30)</f>
        <v>-2952</v>
      </c>
      <c r="I31" s="67" t="n">
        <f aca="false">SUM(I21:I30)</f>
        <v>-3</v>
      </c>
      <c r="J31" s="67" t="n">
        <f aca="false">SUM(J21:J30)</f>
        <v>110</v>
      </c>
      <c r="K31" s="67" t="n">
        <f aca="false">SUM(K21:K30)</f>
        <v>-521</v>
      </c>
      <c r="L31" s="67" t="n">
        <f aca="false">SUM(L21:L30)</f>
        <v>-24382</v>
      </c>
      <c r="M31" s="67" t="n">
        <f aca="false">SUM(M21:M30)</f>
        <v>0</v>
      </c>
      <c r="N31" s="67" t="n">
        <f aca="false">SUM(N21:N30)</f>
        <v>-24382</v>
      </c>
      <c r="O31" s="67" t="n">
        <f aca="false">SUM(O21:O30)</f>
        <v>6963</v>
      </c>
      <c r="P31" s="67" t="n">
        <f aca="false">SUM(P21:P30)</f>
        <v>87255</v>
      </c>
      <c r="Q31" s="67" t="n">
        <f aca="false">SUM(Q21:Q30)</f>
        <v>336</v>
      </c>
      <c r="S31" s="67" t="n">
        <f aca="false">SUM(S21:S30)</f>
        <v>2777</v>
      </c>
    </row>
    <row r="32" customFormat="false" ht="12.75" hidden="false" customHeight="true" outlineLevel="4" collapsed="false">
      <c r="A32" s="57"/>
      <c r="B32" s="69"/>
      <c r="C32" s="68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42"/>
      <c r="S32" s="69"/>
    </row>
    <row r="33" customFormat="false" ht="12.75" hidden="false" customHeight="true" outlineLevel="3" collapsed="false">
      <c r="A33" s="57" t="s">
        <v>68</v>
      </c>
      <c r="B33" s="70" t="n">
        <f aca="false">B19+B31</f>
        <v>203008.133</v>
      </c>
      <c r="C33" s="58"/>
      <c r="D33" s="70" t="n">
        <f aca="false">D19+D31</f>
        <v>197704.458</v>
      </c>
      <c r="E33" s="70" t="n">
        <f aca="false">E19+E31</f>
        <v>75141.54</v>
      </c>
      <c r="F33" s="70" t="n">
        <f aca="false">F19+F31</f>
        <v>31053.57</v>
      </c>
      <c r="G33" s="70" t="n">
        <f aca="false">G19+G31</f>
        <v>0</v>
      </c>
      <c r="H33" s="70" t="n">
        <f aca="false">H19+H31</f>
        <v>-852.648000000001</v>
      </c>
      <c r="I33" s="70" t="n">
        <f aca="false">I19+I31</f>
        <v>-0.382</v>
      </c>
      <c r="J33" s="70" t="n">
        <f aca="false">J19+J31</f>
        <v>1010.568</v>
      </c>
      <c r="K33" s="70" t="n">
        <f aca="false">K19+K31</f>
        <v>-447.769</v>
      </c>
      <c r="L33" s="70" t="n">
        <f aca="false">L19+L31</f>
        <v>-32346</v>
      </c>
      <c r="M33" s="70" t="n">
        <f aca="false">M19+M31</f>
        <v>0</v>
      </c>
      <c r="N33" s="70" t="n">
        <f aca="false">N19+N31</f>
        <v>-32346</v>
      </c>
      <c r="O33" s="70" t="n">
        <f aca="false">O19+O31</f>
        <v>37023.417</v>
      </c>
      <c r="P33" s="70" t="n">
        <f aca="false">P19+P31</f>
        <v>87229.046</v>
      </c>
      <c r="Q33" s="70" t="n">
        <f aca="false">Q19+Q31</f>
        <v>-106.884</v>
      </c>
      <c r="S33" s="70" t="n">
        <f aca="false">S19+S31</f>
        <v>5303.675</v>
      </c>
    </row>
    <row r="34" customFormat="false" ht="12.75" hidden="false" customHeight="true" outlineLevel="3" collapsed="false">
      <c r="B34" s="58"/>
      <c r="C34" s="58"/>
    </row>
    <row r="35" customFormat="false" ht="12.75" hidden="false" customHeight="true" outlineLevel="3" collapsed="false">
      <c r="A35" s="61" t="s">
        <v>69</v>
      </c>
      <c r="B35" s="58"/>
      <c r="C35" s="58"/>
    </row>
    <row r="36" customFormat="false" ht="12.75" hidden="false" customHeight="true" outlineLevel="4" collapsed="false">
      <c r="A36" s="57" t="s">
        <v>70</v>
      </c>
      <c r="B36" s="58" t="n">
        <f aca="false">D36+S36</f>
        <v>5479</v>
      </c>
      <c r="C36" s="58"/>
      <c r="D36" s="62" t="n">
        <f aca="false">SUM(E36:M36)+O36+P36+Q36</f>
        <v>5479</v>
      </c>
      <c r="E36" s="76" t="n">
        <v>5479</v>
      </c>
      <c r="F36" s="76" t="n">
        <v>0</v>
      </c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S36" s="76"/>
    </row>
    <row r="37" customFormat="false" ht="12.75" hidden="false" customHeight="true" outlineLevel="4" collapsed="false">
      <c r="A37" s="57" t="s">
        <v>71</v>
      </c>
      <c r="B37" s="58" t="n">
        <f aca="false">D37+S37</f>
        <v>-37498</v>
      </c>
      <c r="C37" s="58"/>
      <c r="D37" s="62" t="n">
        <f aca="false">SUM(E37:M37)+O37+P37+Q37</f>
        <v>-37498</v>
      </c>
      <c r="E37" s="76" t="n">
        <v>-22225</v>
      </c>
      <c r="F37" s="76" t="n">
        <v>-15273</v>
      </c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S37" s="76"/>
    </row>
    <row r="38" customFormat="false" ht="12.75" hidden="false" customHeight="true" outlineLevel="4" collapsed="false">
      <c r="A38" s="57" t="s">
        <v>105</v>
      </c>
      <c r="B38" s="58" t="n">
        <f aca="false">D38+S38</f>
        <v>7618</v>
      </c>
      <c r="C38" s="58"/>
      <c r="D38" s="62" t="n">
        <f aca="false">SUM(E38:M38)+O38+P38+Q38</f>
        <v>7618</v>
      </c>
      <c r="E38" s="76" t="n">
        <f aca="false">8812-937</f>
        <v>7875</v>
      </c>
      <c r="F38" s="76" t="n">
        <f aca="false">7-264</f>
        <v>-257</v>
      </c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S38" s="76"/>
    </row>
    <row r="39" customFormat="false" ht="12.75" hidden="false" customHeight="true" outlineLevel="4" collapsed="false">
      <c r="A39" s="57" t="s">
        <v>106</v>
      </c>
      <c r="B39" s="58" t="n">
        <f aca="false">D39+S39</f>
        <v>-6770</v>
      </c>
      <c r="C39" s="58"/>
      <c r="D39" s="62" t="n">
        <f aca="false">SUM(E39:Q39)</f>
        <v>0</v>
      </c>
      <c r="E39" s="76" t="n">
        <v>0</v>
      </c>
      <c r="F39" s="76" t="n">
        <v>0</v>
      </c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S39" s="76" t="n">
        <f aca="false">+'[3]JULY_YTD  '!$H$37</f>
        <v>-6770</v>
      </c>
    </row>
    <row r="40" customFormat="false" ht="12.75" hidden="false" customHeight="true" outlineLevel="4" collapsed="false">
      <c r="A40" s="57" t="s">
        <v>76</v>
      </c>
      <c r="B40" s="58" t="n">
        <f aca="false">D40+S40</f>
        <v>0</v>
      </c>
      <c r="C40" s="58"/>
      <c r="D40" s="62" t="n">
        <f aca="false">SUM(E40:Q40)</f>
        <v>0</v>
      </c>
      <c r="E40" s="76" t="n">
        <v>0</v>
      </c>
      <c r="F40" s="76" t="n">
        <v>0</v>
      </c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S40" s="76"/>
    </row>
    <row r="41" customFormat="false" ht="12.75" hidden="false" customHeight="true" outlineLevel="4" collapsed="false">
      <c r="A41" s="57" t="s">
        <v>77</v>
      </c>
      <c r="B41" s="63" t="n">
        <f aca="false">D41+S41</f>
        <v>-14</v>
      </c>
      <c r="C41" s="58"/>
      <c r="D41" s="64" t="n">
        <f aca="false">SUM(E41:M41)+O41+P41+Q41</f>
        <v>-14</v>
      </c>
      <c r="E41" s="64" t="n">
        <v>-14</v>
      </c>
      <c r="F41" s="64" t="n">
        <v>0</v>
      </c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S41" s="64"/>
    </row>
    <row r="42" customFormat="false" ht="12.75" hidden="false" customHeight="true" outlineLevel="3" collapsed="false">
      <c r="A42" s="57" t="s">
        <v>78</v>
      </c>
      <c r="B42" s="70" t="n">
        <f aca="false">SUM(B36:B41)</f>
        <v>-31185</v>
      </c>
      <c r="C42" s="71" t="n">
        <f aca="false">SUM(C36:C41)</f>
        <v>0</v>
      </c>
      <c r="D42" s="70" t="n">
        <f aca="false">SUM(D36:D41)</f>
        <v>-24415</v>
      </c>
      <c r="E42" s="70" t="n">
        <f aca="false">SUM(E36:E41)</f>
        <v>-8885</v>
      </c>
      <c r="F42" s="70" t="n">
        <f aca="false">SUM(F36:F41)</f>
        <v>-15530</v>
      </c>
      <c r="G42" s="70" t="n">
        <f aca="false">SUM(G36:G41)</f>
        <v>0</v>
      </c>
      <c r="H42" s="70" t="n">
        <f aca="false">SUM(H36:H41)</f>
        <v>0</v>
      </c>
      <c r="I42" s="70" t="n">
        <f aca="false">SUM(I36:I41)</f>
        <v>0</v>
      </c>
      <c r="J42" s="70" t="n">
        <f aca="false">SUM(J36:J41)</f>
        <v>0</v>
      </c>
      <c r="K42" s="70" t="n">
        <f aca="false">SUM(K36:K41)</f>
        <v>0</v>
      </c>
      <c r="L42" s="70" t="n">
        <f aca="false">SUM(L36:L41)</f>
        <v>0</v>
      </c>
      <c r="M42" s="70" t="n">
        <f aca="false">SUM(M36:M41)</f>
        <v>0</v>
      </c>
      <c r="N42" s="70"/>
      <c r="O42" s="70" t="n">
        <f aca="false">SUM(O36:O41)</f>
        <v>0</v>
      </c>
      <c r="P42" s="70" t="n">
        <f aca="false">SUM(P36:P41)</f>
        <v>0</v>
      </c>
      <c r="Q42" s="70" t="n">
        <f aca="false">SUM(Q36:Q41)</f>
        <v>0</v>
      </c>
      <c r="S42" s="70" t="n">
        <f aca="false">SUM(S36:S41)</f>
        <v>-6770</v>
      </c>
    </row>
    <row r="43" customFormat="false" ht="12.75" hidden="false" customHeight="true" outlineLevel="3" collapsed="false">
      <c r="B43" s="58"/>
      <c r="C43" s="58"/>
    </row>
    <row r="44" customFormat="false" ht="12.75" hidden="false" customHeight="true" outlineLevel="3" collapsed="false">
      <c r="A44" s="61" t="s">
        <v>79</v>
      </c>
      <c r="B44" s="58"/>
      <c r="C44" s="58"/>
    </row>
    <row r="45" customFormat="false" ht="12.75" hidden="false" customHeight="true" outlineLevel="4" collapsed="false">
      <c r="A45" s="57" t="s">
        <v>80</v>
      </c>
      <c r="B45" s="58" t="n">
        <f aca="false">D45+S45</f>
        <v>0</v>
      </c>
      <c r="C45" s="58"/>
      <c r="D45" s="62" t="n">
        <f aca="false">SUM(E45:Q45)</f>
        <v>0</v>
      </c>
      <c r="E45" s="62"/>
      <c r="F45" s="62" t="n">
        <v>0</v>
      </c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S45" s="62"/>
    </row>
    <row r="46" customFormat="false" ht="12.75" hidden="false" customHeight="true" outlineLevel="4" collapsed="false">
      <c r="A46" s="57" t="s">
        <v>81</v>
      </c>
      <c r="B46" s="58" t="n">
        <f aca="false">D46+S46</f>
        <v>150000</v>
      </c>
      <c r="C46" s="58"/>
      <c r="D46" s="62" t="n">
        <f aca="false">SUM(E46:M46)+O46+P46+Q46</f>
        <v>150000</v>
      </c>
      <c r="E46" s="62"/>
      <c r="F46" s="62" t="n">
        <v>150000</v>
      </c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S46" s="62"/>
    </row>
    <row r="47" customFormat="false" ht="12.75" hidden="false" customHeight="true" outlineLevel="4" collapsed="false">
      <c r="A47" s="57" t="s">
        <v>83</v>
      </c>
      <c r="B47" s="58" t="n">
        <f aca="false">D47+S47</f>
        <v>-123000</v>
      </c>
      <c r="C47" s="58"/>
      <c r="D47" s="62" t="n">
        <f aca="false">SUM(E47:Q47)</f>
        <v>-123000</v>
      </c>
      <c r="E47" s="62"/>
      <c r="F47" s="62" t="n">
        <v>-123000</v>
      </c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S47" s="62"/>
    </row>
    <row r="48" customFormat="false" ht="12.75" hidden="false" customHeight="true" outlineLevel="4" collapsed="false">
      <c r="A48" s="57" t="s">
        <v>84</v>
      </c>
      <c r="B48" s="58" t="n">
        <f aca="false">D48+S48</f>
        <v>2533</v>
      </c>
      <c r="C48" s="58"/>
      <c r="D48" s="62" t="n">
        <f aca="false">SUM(E48:M48)+O48+P48+Q48</f>
        <v>0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S48" s="62" t="n">
        <f aca="false">+'[3]JULY_YTD  '!$H$46</f>
        <v>2533</v>
      </c>
    </row>
    <row r="49" customFormat="false" ht="12.75" hidden="false" customHeight="true" outlineLevel="4" collapsed="false">
      <c r="A49" s="57" t="s">
        <v>107</v>
      </c>
      <c r="B49" s="58" t="n">
        <f aca="false">D49+S49</f>
        <v>0</v>
      </c>
      <c r="C49" s="58"/>
      <c r="D49" s="62" t="n">
        <f aca="false">SUM(E49:Q49)</f>
        <v>0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S49" s="75"/>
    </row>
    <row r="50" customFormat="false" ht="12.75" hidden="false" customHeight="true" outlineLevel="3" collapsed="false">
      <c r="A50" s="57" t="s">
        <v>86</v>
      </c>
      <c r="B50" s="72" t="n">
        <f aca="false">SUM(B45:B49)</f>
        <v>29533</v>
      </c>
      <c r="C50" s="58"/>
      <c r="D50" s="72" t="n">
        <f aca="false">SUM(D45:D49)</f>
        <v>27000</v>
      </c>
      <c r="E50" s="72" t="n">
        <f aca="false">SUM(E45:E49)</f>
        <v>0</v>
      </c>
      <c r="F50" s="72" t="n">
        <f aca="false">SUM(F45:F49)</f>
        <v>27000</v>
      </c>
      <c r="G50" s="72" t="n">
        <f aca="false">SUM(G45:G49)</f>
        <v>0</v>
      </c>
      <c r="H50" s="72" t="n">
        <f aca="false">SUM(H45:H49)</f>
        <v>0</v>
      </c>
      <c r="I50" s="72" t="n">
        <f aca="false">SUM(I45:I49)</f>
        <v>0</v>
      </c>
      <c r="J50" s="72" t="n">
        <f aca="false">SUM(J45:J49)</f>
        <v>0</v>
      </c>
      <c r="K50" s="72" t="n">
        <f aca="false">SUM(K45:K49)</f>
        <v>0</v>
      </c>
      <c r="L50" s="72" t="n">
        <f aca="false">SUM(L45:L49)</f>
        <v>0</v>
      </c>
      <c r="M50" s="72" t="n">
        <f aca="false">SUM(M45:M49)</f>
        <v>0</v>
      </c>
      <c r="N50" s="72"/>
      <c r="O50" s="72" t="n">
        <f aca="false">SUM(O45:O49)</f>
        <v>0</v>
      </c>
      <c r="P50" s="72" t="n">
        <f aca="false">SUM(P45:P49)</f>
        <v>0</v>
      </c>
      <c r="Q50" s="72" t="n">
        <f aca="false">SUM(Q45:Q49)</f>
        <v>0</v>
      </c>
      <c r="S50" s="72" t="n">
        <f aca="false">SUM(S45:S49)</f>
        <v>2533</v>
      </c>
    </row>
    <row r="51" customFormat="false" ht="12.75" hidden="false" customHeight="true" outlineLevel="3" collapsed="false">
      <c r="A51" s="57"/>
      <c r="B51" s="71"/>
      <c r="C51" s="58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S51" s="71"/>
    </row>
    <row r="52" customFormat="false" ht="12.75" hidden="false" customHeight="true" outlineLevel="2" collapsed="false">
      <c r="A52" s="57" t="s">
        <v>87</v>
      </c>
      <c r="B52" s="71" t="n">
        <f aca="false">B33+B42+B50</f>
        <v>201356.133</v>
      </c>
      <c r="C52" s="58"/>
      <c r="D52" s="71" t="n">
        <f aca="false">D33+D42+D50</f>
        <v>200289.458</v>
      </c>
      <c r="E52" s="71" t="n">
        <f aca="false">E33+E42+E50</f>
        <v>66256.54</v>
      </c>
      <c r="F52" s="71" t="n">
        <f aca="false">F33+F42+F50</f>
        <v>42523.57</v>
      </c>
      <c r="G52" s="71" t="n">
        <f aca="false">G33+G42+G50</f>
        <v>0</v>
      </c>
      <c r="H52" s="71" t="n">
        <f aca="false">H33+H42+H50</f>
        <v>-852.648000000001</v>
      </c>
      <c r="I52" s="71" t="n">
        <f aca="false">I33+I42+I50</f>
        <v>-0.382</v>
      </c>
      <c r="J52" s="71" t="n">
        <f aca="false">J33+J42+J50</f>
        <v>1010.568</v>
      </c>
      <c r="K52" s="71" t="n">
        <f aca="false">K33+K42+K50</f>
        <v>-447.769</v>
      </c>
      <c r="L52" s="71" t="n">
        <f aca="false">L33+L42+L50</f>
        <v>-32346</v>
      </c>
      <c r="M52" s="71" t="n">
        <f aca="false">M33+M42+M50</f>
        <v>0</v>
      </c>
      <c r="N52" s="71" t="n">
        <f aca="false">M52+L52</f>
        <v>-32346</v>
      </c>
      <c r="O52" s="71" t="n">
        <f aca="false">O33+O42+O50</f>
        <v>37023.417</v>
      </c>
      <c r="P52" s="71" t="n">
        <f aca="false">P33+P42+P50</f>
        <v>87229.046</v>
      </c>
      <c r="Q52" s="71" t="n">
        <f aca="false">Q33+Q42+Q50</f>
        <v>-106.884</v>
      </c>
      <c r="S52" s="71" t="n">
        <f aca="false">S33+S42+S50</f>
        <v>1066.675</v>
      </c>
    </row>
    <row r="53" customFormat="false" ht="12.75" hidden="false" customHeight="true" outlineLevel="2" collapsed="false">
      <c r="A53" s="57"/>
      <c r="B53" s="71"/>
      <c r="C53" s="58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S53" s="71"/>
    </row>
    <row r="54" customFormat="false" ht="12.75" hidden="false" customHeight="true" outlineLevel="2" collapsed="false">
      <c r="A54" s="57" t="s">
        <v>88</v>
      </c>
      <c r="B54" s="63" t="n">
        <f aca="false">D54+S54</f>
        <v>3703</v>
      </c>
      <c r="C54" s="58"/>
      <c r="D54" s="64" t="n">
        <f aca="false">SUM(E54:M54)+O54+P54+Q54</f>
        <v>89</v>
      </c>
      <c r="E54" s="77" t="n">
        <v>0</v>
      </c>
      <c r="F54" s="77" t="n">
        <v>0</v>
      </c>
      <c r="G54" s="77" t="n">
        <v>0</v>
      </c>
      <c r="H54" s="77" t="n">
        <v>0</v>
      </c>
      <c r="I54" s="77" t="n">
        <v>0</v>
      </c>
      <c r="J54" s="77" t="n">
        <v>0</v>
      </c>
      <c r="K54" s="77" t="n">
        <v>0</v>
      </c>
      <c r="L54" s="77" t="n">
        <v>0</v>
      </c>
      <c r="M54" s="77" t="n">
        <v>0</v>
      </c>
      <c r="N54" s="77" t="n">
        <v>0</v>
      </c>
      <c r="O54" s="77" t="n">
        <v>0</v>
      </c>
      <c r="P54" s="77" t="n">
        <v>84</v>
      </c>
      <c r="Q54" s="77" t="n">
        <v>5</v>
      </c>
      <c r="S54" s="77" t="n">
        <f aca="false">+'[3]JULY_YTD  '!$H$50</f>
        <v>3614</v>
      </c>
    </row>
    <row r="55" customFormat="false" ht="12.75" hidden="false" customHeight="true" outlineLevel="2" collapsed="false">
      <c r="A55" s="57"/>
      <c r="B55" s="58"/>
      <c r="C55" s="58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S55" s="73"/>
    </row>
    <row r="56" customFormat="false" ht="12.75" hidden="false" customHeight="true" outlineLevel="1" collapsed="false">
      <c r="A56" s="57" t="s">
        <v>89</v>
      </c>
      <c r="B56" s="74" t="n">
        <f aca="false">B52-B54</f>
        <v>197653.133</v>
      </c>
      <c r="C56" s="58"/>
      <c r="D56" s="74" t="n">
        <f aca="false">D52-D54</f>
        <v>200200.458</v>
      </c>
      <c r="E56" s="74" t="n">
        <f aca="false">E52-E54</f>
        <v>66256.54</v>
      </c>
      <c r="F56" s="74" t="n">
        <f aca="false">F52-F54</f>
        <v>42523.57</v>
      </c>
      <c r="G56" s="74" t="n">
        <f aca="false">G52-G54</f>
        <v>0</v>
      </c>
      <c r="H56" s="74" t="n">
        <f aca="false">H52-H54</f>
        <v>-852.648000000001</v>
      </c>
      <c r="I56" s="74" t="n">
        <f aca="false">I52-I54</f>
        <v>-0.382</v>
      </c>
      <c r="J56" s="74" t="n">
        <f aca="false">J52-J54</f>
        <v>1010.568</v>
      </c>
      <c r="K56" s="74" t="n">
        <f aca="false">K52-K54</f>
        <v>-447.769</v>
      </c>
      <c r="L56" s="74" t="n">
        <f aca="false">L52-L54</f>
        <v>-32346</v>
      </c>
      <c r="M56" s="74" t="n">
        <f aca="false">M52-M54</f>
        <v>0</v>
      </c>
      <c r="N56" s="74" t="n">
        <f aca="false">N52-N54</f>
        <v>-32346</v>
      </c>
      <c r="O56" s="74" t="n">
        <f aca="false">O52-O54</f>
        <v>37023.417</v>
      </c>
      <c r="P56" s="74" t="n">
        <f aca="false">P52-P54</f>
        <v>87145.046</v>
      </c>
      <c r="Q56" s="74" t="n">
        <f aca="false">Q52-Q54</f>
        <v>-111.884</v>
      </c>
      <c r="S56" s="74" t="n">
        <f aca="false">S52-S54</f>
        <v>-2547.325</v>
      </c>
    </row>
    <row r="57" customFormat="false" ht="12.75" hidden="false" customHeight="true" outlineLevel="1" collapsed="false">
      <c r="B57" s="42"/>
      <c r="C57" s="42"/>
    </row>
    <row r="58" customFormat="false" ht="12.75" hidden="false" customHeight="true" outlineLevel="0" collapsed="false">
      <c r="A58" s="40" t="s">
        <v>90</v>
      </c>
      <c r="B58" s="64" t="n">
        <f aca="false">D58+S58</f>
        <v>-27046</v>
      </c>
      <c r="C58" s="42"/>
      <c r="D58" s="64" t="n">
        <f aca="false">SUM(E58:Q58)</f>
        <v>-27046</v>
      </c>
      <c r="E58" s="77" t="n">
        <v>-45</v>
      </c>
      <c r="F58" s="77" t="n">
        <v>-27000</v>
      </c>
      <c r="G58" s="77" t="n">
        <v>0</v>
      </c>
      <c r="H58" s="77" t="n">
        <v>0</v>
      </c>
      <c r="I58" s="77" t="n">
        <v>145</v>
      </c>
      <c r="J58" s="77" t="n">
        <v>-995</v>
      </c>
      <c r="K58" s="77" t="n">
        <v>849</v>
      </c>
      <c r="L58" s="77" t="n">
        <v>0</v>
      </c>
      <c r="M58" s="77" t="n">
        <v>0</v>
      </c>
      <c r="N58" s="77" t="n">
        <v>0</v>
      </c>
      <c r="O58" s="77" t="n">
        <v>0</v>
      </c>
      <c r="P58" s="77" t="n">
        <v>0</v>
      </c>
      <c r="Q58" s="77" t="n">
        <v>0</v>
      </c>
      <c r="S58" s="77" t="n">
        <v>0</v>
      </c>
    </row>
    <row r="59" customFormat="false" ht="12.75" hidden="false" customHeight="true" outlineLevel="0" collapsed="false">
      <c r="B59" s="42"/>
      <c r="C59" s="42"/>
    </row>
    <row r="60" customFormat="false" ht="12.75" hidden="false" customHeight="true" outlineLevel="0" collapsed="false">
      <c r="A60" s="40" t="s">
        <v>91</v>
      </c>
      <c r="B60" s="74" t="n">
        <f aca="false">B56+B58</f>
        <v>170607.133</v>
      </c>
      <c r="C60" s="42"/>
      <c r="D60" s="74" t="n">
        <f aca="false">D56+D58</f>
        <v>173154.458</v>
      </c>
      <c r="E60" s="74" t="n">
        <f aca="false">E56+E58</f>
        <v>66211.54</v>
      </c>
      <c r="F60" s="74" t="n">
        <f aca="false">F56+F58</f>
        <v>15523.57</v>
      </c>
      <c r="G60" s="74" t="n">
        <f aca="false">G56+G58</f>
        <v>0</v>
      </c>
      <c r="H60" s="74" t="n">
        <f aca="false">H56+H58</f>
        <v>-852.648000000001</v>
      </c>
      <c r="I60" s="74" t="n">
        <f aca="false">I56+I58</f>
        <v>144.618</v>
      </c>
      <c r="J60" s="74" t="n">
        <f aca="false">J56+J58</f>
        <v>15.5680000000001</v>
      </c>
      <c r="K60" s="74" t="n">
        <f aca="false">K56+K58</f>
        <v>401.231</v>
      </c>
      <c r="L60" s="74" t="n">
        <f aca="false">L56+L58</f>
        <v>-32346</v>
      </c>
      <c r="M60" s="74" t="n">
        <f aca="false">M56+M58</f>
        <v>0</v>
      </c>
      <c r="N60" s="74" t="n">
        <f aca="false">M60+L60</f>
        <v>-32346</v>
      </c>
      <c r="O60" s="74" t="n">
        <f aca="false">O56+O58</f>
        <v>37023.417</v>
      </c>
      <c r="P60" s="74" t="n">
        <f aca="false">P56+P58</f>
        <v>87145.046</v>
      </c>
      <c r="Q60" s="74" t="n">
        <f aca="false">Q56-Q58</f>
        <v>-111.884</v>
      </c>
      <c r="S60" s="74" t="n">
        <f aca="false">S56+S58</f>
        <v>-2547.325</v>
      </c>
    </row>
    <row r="61" customFormat="false" ht="12.75" hidden="false" customHeight="true" outlineLevel="0" collapsed="false">
      <c r="B61" s="42"/>
      <c r="C61" s="42"/>
    </row>
    <row r="62" customFormat="false" ht="12.75" hidden="false" customHeight="true" outlineLevel="0" collapsed="false">
      <c r="B62" s="42"/>
      <c r="C62" s="42"/>
    </row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509722222222222" bottom="0.27986111111111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76"/>
  <sheetViews>
    <sheetView showFormulas="false" showGridLines="tru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E36" activeCellId="0" sqref="E36"/>
    </sheetView>
  </sheetViews>
  <sheetFormatPr defaultColWidth="8.9921875" defaultRowHeight="12.75" customHeight="true" zeroHeight="false" outlineLevelRow="4" outlineLevelCol="0"/>
  <cols>
    <col collapsed="false" customWidth="true" hidden="false" outlineLevel="0" max="1" min="1" style="40" width="67.99"/>
    <col collapsed="false" customWidth="true" hidden="false" outlineLevel="0" max="2" min="2" style="40" width="14.49"/>
    <col collapsed="false" customWidth="true" hidden="false" outlineLevel="0" max="3" min="3" style="40" width="1.82"/>
    <col collapsed="false" customWidth="true" hidden="false" outlineLevel="0" max="4" min="4" style="40" width="11.82"/>
    <col collapsed="false" customWidth="true" hidden="false" outlineLevel="0" max="5" min="5" style="40" width="11.65"/>
    <col collapsed="false" customWidth="true" hidden="false" outlineLevel="0" max="6" min="6" style="40" width="10.82"/>
    <col collapsed="false" customWidth="true" hidden="false" outlineLevel="0" max="7" min="7" style="40" width="12.82"/>
    <col collapsed="false" customWidth="true" hidden="false" outlineLevel="0" max="11" min="8" style="40" width="10.82"/>
    <col collapsed="false" customWidth="true" hidden="true" outlineLevel="0" max="13" min="12" style="40" width="10.82"/>
    <col collapsed="false" customWidth="true" hidden="false" outlineLevel="0" max="15" min="14" style="40" width="12.16"/>
    <col collapsed="false" customWidth="true" hidden="false" outlineLevel="0" max="16" min="16" style="40" width="10.82"/>
    <col collapsed="false" customWidth="true" hidden="false" outlineLevel="0" max="17" min="17" style="40" width="3.65"/>
    <col collapsed="false" customWidth="true" hidden="false" outlineLevel="0" max="18" min="18" style="40" width="9.82"/>
    <col collapsed="false" customWidth="false" hidden="false" outlineLevel="0" max="257" min="19" style="40" width="8.99"/>
  </cols>
  <sheetData>
    <row r="1" customFormat="false" ht="12.75" hidden="false" customHeight="true" outlineLevel="0" collapsed="false">
      <c r="A1" s="41" t="s">
        <v>18</v>
      </c>
      <c r="B1" s="42"/>
      <c r="C1" s="42"/>
      <c r="D1" s="42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customFormat="false" ht="12.75" hidden="false" customHeight="true" outlineLevel="0" collapsed="false">
      <c r="A2" s="44" t="s">
        <v>19</v>
      </c>
      <c r="D2" s="45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customFormat="false" ht="12.75" hidden="false" customHeight="true" outlineLevel="0" collapsed="false">
      <c r="A3" s="47" t="s">
        <v>113</v>
      </c>
      <c r="B3" s="42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</row>
    <row r="4" customFormat="false" ht="12.75" hidden="false" customHeight="true" outlineLevel="0" collapsed="false">
      <c r="A4" s="42"/>
      <c r="B4" s="49" t="s">
        <v>97</v>
      </c>
      <c r="C4" s="50"/>
      <c r="D4" s="51"/>
      <c r="I4" s="52" t="s">
        <v>98</v>
      </c>
      <c r="J4" s="52" t="s">
        <v>28</v>
      </c>
      <c r="K4" s="52" t="s">
        <v>29</v>
      </c>
      <c r="L4" s="52" t="s">
        <v>30</v>
      </c>
      <c r="M4" s="52" t="s">
        <v>31</v>
      </c>
      <c r="N4" s="52" t="s">
        <v>30</v>
      </c>
      <c r="O4" s="52" t="s">
        <v>32</v>
      </c>
      <c r="R4" s="53" t="s">
        <v>21</v>
      </c>
    </row>
    <row r="5" customFormat="false" ht="12.75" hidden="false" customHeight="true" outlineLevel="0" collapsed="false">
      <c r="A5" s="54" t="s">
        <v>34</v>
      </c>
      <c r="B5" s="55" t="s">
        <v>100</v>
      </c>
      <c r="C5" s="52"/>
      <c r="D5" s="51" t="s">
        <v>35</v>
      </c>
      <c r="E5" s="51" t="s">
        <v>22</v>
      </c>
      <c r="F5" s="51" t="s">
        <v>23</v>
      </c>
      <c r="G5" s="51" t="s">
        <v>24</v>
      </c>
      <c r="H5" s="51" t="s">
        <v>25</v>
      </c>
      <c r="I5" s="51" t="n">
        <v>543</v>
      </c>
      <c r="J5" s="51" t="n">
        <v>584</v>
      </c>
      <c r="K5" s="51" t="n">
        <v>583</v>
      </c>
      <c r="L5" s="51" t="s">
        <v>36</v>
      </c>
      <c r="M5" s="51"/>
      <c r="N5" s="51" t="s">
        <v>37</v>
      </c>
      <c r="O5" s="51" t="s">
        <v>38</v>
      </c>
      <c r="P5" s="51" t="s">
        <v>33</v>
      </c>
      <c r="R5" s="56" t="s">
        <v>102</v>
      </c>
    </row>
    <row r="6" customFormat="false" ht="12.75" hidden="false" customHeight="true" outlineLevel="2" collapsed="false">
      <c r="A6" s="57"/>
      <c r="B6" s="58"/>
      <c r="C6" s="58"/>
      <c r="D6" s="59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</row>
    <row r="7" customFormat="false" ht="12.75" hidden="false" customHeight="true" outlineLevel="4" collapsed="false">
      <c r="A7" s="61" t="s">
        <v>39</v>
      </c>
      <c r="B7" s="58"/>
      <c r="C7" s="58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</row>
    <row r="8" customFormat="false" ht="12.75" hidden="false" customHeight="true" outlineLevel="4" collapsed="false">
      <c r="A8" s="57" t="s">
        <v>40</v>
      </c>
      <c r="B8" s="58" t="n">
        <f aca="false">D8+R8</f>
        <v>23979.081</v>
      </c>
      <c r="C8" s="58"/>
      <c r="D8" s="62" t="n">
        <f aca="false">SUM(E8:M8)+O8+P8</f>
        <v>25599.618</v>
      </c>
      <c r="E8" s="62" t="n">
        <f aca="false">JUNEYTD!E8-MayYTD!E8</f>
        <v>23700.911</v>
      </c>
      <c r="F8" s="62" t="n">
        <f aca="false">JUNEYTD!F8-MayYTD!F8</f>
        <v>4480.06599999998</v>
      </c>
      <c r="G8" s="62" t="n">
        <f aca="false">JUNEYTD!G8-MayYTD!G8</f>
        <v>1364.815</v>
      </c>
      <c r="H8" s="62" t="n">
        <f aca="false">JUNEYTD!H8-MayYTD!H8</f>
        <v>291.737</v>
      </c>
      <c r="I8" s="62" t="n">
        <f aca="false">JUNEYTD!I8-MayYTD!I8</f>
        <v>6.426</v>
      </c>
      <c r="J8" s="62" t="n">
        <f aca="false">JUNEYTD!J8-MayYTD!J8</f>
        <v>94.7499999999998</v>
      </c>
      <c r="K8" s="62" t="n">
        <f aca="false">JUNEYTD!K8-MayYTD!K8</f>
        <v>-0.0919999999996293</v>
      </c>
      <c r="L8" s="62" t="n">
        <f aca="false">JUNEYTD!L8-MayYTD!L8</f>
        <v>17.9970000000001</v>
      </c>
      <c r="M8" s="62" t="n">
        <f aca="false">JUNEYTD!M8-MayYTD!M8</f>
        <v>0</v>
      </c>
      <c r="N8" s="62" t="n">
        <f aca="false">M8+L8</f>
        <v>17.9970000000001</v>
      </c>
      <c r="O8" s="62" t="n">
        <f aca="false">JUNEYTD!O8-MayYTD!O8</f>
        <v>-4312.571</v>
      </c>
      <c r="P8" s="62" t="n">
        <f aca="false">JUNEYTD!Q8-MayYTD!P8</f>
        <v>-44.421</v>
      </c>
      <c r="R8" s="62" t="n">
        <f aca="false">JUNEYTD!S8-MayYTD!R8</f>
        <v>-1620.537</v>
      </c>
    </row>
    <row r="9" customFormat="false" ht="12.75" hidden="false" customHeight="true" outlineLevel="4" collapsed="false">
      <c r="A9" s="57" t="s">
        <v>41</v>
      </c>
      <c r="B9" s="63" t="n">
        <f aca="false">D9+R9</f>
        <v>1064.733</v>
      </c>
      <c r="C9" s="58"/>
      <c r="D9" s="64" t="n">
        <f aca="false">SUM(E9:M9)+O9+P9</f>
        <v>1064.733</v>
      </c>
      <c r="E9" s="64" t="n">
        <f aca="false">JUNEYTD!E9-MayYTD!E9</f>
        <v>-1246.99</v>
      </c>
      <c r="F9" s="64" t="n">
        <f aca="false">JUNEYTD!F9-MayYTD!F9</f>
        <v>-656.219</v>
      </c>
      <c r="G9" s="64" t="n">
        <f aca="false">JUNEYTD!G9-MayYTD!G9</f>
        <v>-0</v>
      </c>
      <c r="H9" s="64" t="n">
        <f aca="false">JUNEYTD!H9-MayYTD!H9</f>
        <v>0</v>
      </c>
      <c r="I9" s="64" t="n">
        <f aca="false">JUNEYTD!I9-MayYTD!I9</f>
        <v>-0</v>
      </c>
      <c r="J9" s="64" t="n">
        <f aca="false">JUNEYTD!J9-MayYTD!J9</f>
        <v>83.826</v>
      </c>
      <c r="K9" s="64" t="n">
        <f aca="false">JUNEYTD!K9-MayYTD!K9</f>
        <v>-0</v>
      </c>
      <c r="L9" s="64" t="n">
        <f aca="false">JUNEYTD!L9-MayYTD!L9</f>
        <v>-0</v>
      </c>
      <c r="M9" s="64" t="n">
        <f aca="false">JUNEYTD!M9-MayYTD!M9</f>
        <v>0</v>
      </c>
      <c r="N9" s="64" t="n">
        <f aca="false">M9+L9</f>
        <v>0</v>
      </c>
      <c r="O9" s="64" t="n">
        <f aca="false">JUNEYTD!O9-MayYTD!O9</f>
        <v>2884.116</v>
      </c>
      <c r="P9" s="64" t="n">
        <f aca="false">JUNEYTD!Q9-MayYTD!P9</f>
        <v>-0</v>
      </c>
      <c r="R9" s="50"/>
    </row>
    <row r="10" customFormat="false" ht="12.75" hidden="false" customHeight="true" outlineLevel="4" collapsed="false">
      <c r="A10" s="57" t="s">
        <v>42</v>
      </c>
      <c r="B10" s="65" t="n">
        <f aca="false">B8+B9</f>
        <v>25043.814</v>
      </c>
      <c r="C10" s="58"/>
      <c r="D10" s="65" t="n">
        <f aca="false">D8+D9</f>
        <v>26664.351</v>
      </c>
      <c r="E10" s="65" t="n">
        <f aca="false">E8+E9</f>
        <v>22453.921</v>
      </c>
      <c r="F10" s="65" t="n">
        <f aca="false">F8+F9</f>
        <v>3823.84699999998</v>
      </c>
      <c r="G10" s="65" t="n">
        <f aca="false">G8+G9</f>
        <v>1364.815</v>
      </c>
      <c r="H10" s="65" t="n">
        <f aca="false">H8+H9</f>
        <v>291.737</v>
      </c>
      <c r="I10" s="65" t="n">
        <f aca="false">I8+I9</f>
        <v>6.426</v>
      </c>
      <c r="J10" s="65" t="n">
        <f aca="false">J8+J9</f>
        <v>178.576</v>
      </c>
      <c r="K10" s="65" t="n">
        <f aca="false">K8+K9</f>
        <v>-0.0919999999996293</v>
      </c>
      <c r="L10" s="65" t="n">
        <f aca="false">L8+L9</f>
        <v>17.9970000000001</v>
      </c>
      <c r="M10" s="65" t="n">
        <f aca="false">M8+M9</f>
        <v>0</v>
      </c>
      <c r="N10" s="65" t="n">
        <f aca="false">N8</f>
        <v>17.9970000000001</v>
      </c>
      <c r="O10" s="65" t="n">
        <f aca="false">O8+O9</f>
        <v>-1428.455</v>
      </c>
      <c r="P10" s="65" t="n">
        <f aca="false">P8+P9</f>
        <v>-44.421</v>
      </c>
      <c r="R10" s="65" t="n">
        <f aca="false">R8+R9</f>
        <v>-1620.537</v>
      </c>
    </row>
    <row r="11" customFormat="false" ht="12.75" hidden="false" customHeight="true" outlineLevel="4" collapsed="false">
      <c r="A11" s="57"/>
      <c r="B11" s="65"/>
      <c r="C11" s="58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R11" s="65"/>
    </row>
    <row r="12" customFormat="false" ht="12.75" hidden="false" customHeight="true" outlineLevel="4" collapsed="false">
      <c r="A12" s="57" t="s">
        <v>43</v>
      </c>
      <c r="B12" s="58" t="n">
        <f aca="false">D12+R12</f>
        <v>5509.403</v>
      </c>
      <c r="C12" s="58"/>
      <c r="D12" s="62" t="n">
        <f aca="false">SUM(E12:M12)+O12+P12</f>
        <v>5509.403</v>
      </c>
      <c r="E12" s="62" t="n">
        <f aca="false">JUNEYTD!E12-MayYTD!E12</f>
        <v>3852.971</v>
      </c>
      <c r="F12" s="62" t="n">
        <f aca="false">JUNEYTD!F12-MayYTD!F12</f>
        <v>1678.743</v>
      </c>
      <c r="G12" s="62" t="n">
        <f aca="false">JUNEYTD!G12-MayYTD!G12</f>
        <v>0</v>
      </c>
      <c r="H12" s="62" t="n">
        <f aca="false">JUNEYTD!H12-MayYTD!H12</f>
        <v>0</v>
      </c>
      <c r="I12" s="62" t="n">
        <f aca="false">JUNEYTD!I12-MayYTD!I12</f>
        <v>0</v>
      </c>
      <c r="J12" s="62" t="n">
        <f aca="false">JUNEYTD!J12-MayYTD!J12</f>
        <v>0</v>
      </c>
      <c r="K12" s="62" t="n">
        <f aca="false">JUNEYTD!K12-MayYTD!K12</f>
        <v>0</v>
      </c>
      <c r="L12" s="62" t="n">
        <f aca="false">JUNEYTD!L12-MayYTD!L12</f>
        <v>-22.311</v>
      </c>
      <c r="M12" s="62" t="n">
        <f aca="false">JUNEYTD!M12-MayYTD!M12</f>
        <v>0</v>
      </c>
      <c r="N12" s="62" t="n">
        <f aca="false">M12+L12</f>
        <v>-22.311</v>
      </c>
      <c r="O12" s="62" t="n">
        <f aca="false">JUNEYTD!O12-MayYTD!O12</f>
        <v>0</v>
      </c>
      <c r="P12" s="62" t="n">
        <f aca="false">JUNEYTD!Q12-MayYTD!P12</f>
        <v>0</v>
      </c>
      <c r="R12" s="62" t="n">
        <f aca="false">JUNEYTD!S12-MayYTD!R12</f>
        <v>0</v>
      </c>
    </row>
    <row r="13" customFormat="false" ht="12.75" hidden="false" customHeight="true" outlineLevel="4" collapsed="false">
      <c r="A13" s="57" t="s">
        <v>45</v>
      </c>
      <c r="B13" s="58" t="n">
        <f aca="false">D13+R13</f>
        <v>13820.978</v>
      </c>
      <c r="C13" s="58"/>
      <c r="D13" s="62" t="n">
        <f aca="false">SUM(E13:M13)+O13+P13</f>
        <v>13815.915</v>
      </c>
      <c r="E13" s="62" t="n">
        <f aca="false">JUNEYTD!E13-MayYTD!E13</f>
        <v>13754.898</v>
      </c>
      <c r="F13" s="62" t="n">
        <f aca="false">JUNEYTD!F13-MayYTD!F13</f>
        <v>-1133.563</v>
      </c>
      <c r="G13" s="62" t="n">
        <f aca="false">JUNEYTD!G13-MayYTD!G13</f>
        <v>0</v>
      </c>
      <c r="H13" s="62" t="n">
        <f aca="false">JUNEYTD!H13-MayYTD!H13</f>
        <v>132.176</v>
      </c>
      <c r="I13" s="62" t="n">
        <f aca="false">JUNEYTD!I13-MayYTD!I13</f>
        <v>0</v>
      </c>
      <c r="J13" s="62" t="n">
        <f aca="false">JUNEYTD!J13-MayYTD!J13</f>
        <v>0</v>
      </c>
      <c r="K13" s="62" t="n">
        <f aca="false">JUNEYTD!K13-MayYTD!K13</f>
        <v>-0.607</v>
      </c>
      <c r="L13" s="62" t="n">
        <f aca="false">JUNEYTD!L13-MayYTD!L13</f>
        <v>790.1</v>
      </c>
      <c r="M13" s="62" t="n">
        <f aca="false">JUNEYTD!M13-MayYTD!M13</f>
        <v>0</v>
      </c>
      <c r="N13" s="62" t="n">
        <f aca="false">M13+L13</f>
        <v>790.1</v>
      </c>
      <c r="O13" s="62" t="n">
        <f aca="false">JUNEYTD!O13-MayYTD!O13</f>
        <v>272.911</v>
      </c>
      <c r="P13" s="62" t="n">
        <f aca="false">JUNEYTD!Q13-MayYTD!P13</f>
        <v>0</v>
      </c>
      <c r="R13" s="62" t="n">
        <f aca="false">JUNEYTD!S13-MayYTD!R13</f>
        <v>5.063</v>
      </c>
    </row>
    <row r="14" customFormat="false" ht="12.75" hidden="false" customHeight="true" outlineLevel="4" collapsed="false">
      <c r="A14" s="57" t="s">
        <v>47</v>
      </c>
      <c r="B14" s="58" t="n">
        <f aca="false">D14+R14</f>
        <v>-14.725</v>
      </c>
      <c r="C14" s="58"/>
      <c r="D14" s="62" t="n">
        <f aca="false">SUM(E14:M14)+O14+P14</f>
        <v>-14.725</v>
      </c>
      <c r="E14" s="62" t="n">
        <f aca="false">JUNEYTD!E14-MayYTD!E14</f>
        <v>-14.725</v>
      </c>
      <c r="F14" s="62" t="n">
        <f aca="false">JUNEYTD!F14-MayYTD!F14</f>
        <v>0</v>
      </c>
      <c r="G14" s="62" t="n">
        <f aca="false">JUNEYTD!G14-MayYTD!G14</f>
        <v>0</v>
      </c>
      <c r="H14" s="62" t="n">
        <f aca="false">JUNEYTD!H14-MayYTD!H14</f>
        <v>0</v>
      </c>
      <c r="I14" s="62" t="n">
        <f aca="false">JUNEYTD!I14-MayYTD!I14</f>
        <v>0</v>
      </c>
      <c r="J14" s="62" t="n">
        <f aca="false">JUNEYTD!J14-MayYTD!J14</f>
        <v>0</v>
      </c>
      <c r="K14" s="62" t="n">
        <f aca="false">JUNEYTD!K14-MayYTD!K14</f>
        <v>0</v>
      </c>
      <c r="L14" s="62" t="n">
        <f aca="false">JUNEYTD!L14-MayYTD!L14</f>
        <v>0</v>
      </c>
      <c r="M14" s="62" t="n">
        <f aca="false">JUNEYTD!M14-MayYTD!M14</f>
        <v>0</v>
      </c>
      <c r="N14" s="62" t="n">
        <f aca="false">M14+L14</f>
        <v>0</v>
      </c>
      <c r="O14" s="62" t="n">
        <f aca="false">JUNEYTD!O14-MayYTD!O14</f>
        <v>0</v>
      </c>
      <c r="P14" s="62" t="n">
        <f aca="false">JUNEYTD!Q14-MayYTD!P14</f>
        <v>0</v>
      </c>
      <c r="R14" s="62" t="n">
        <f aca="false">JUNEYTD!S14-MayYTD!R14</f>
        <v>-0</v>
      </c>
    </row>
    <row r="15" customFormat="false" ht="12.75" hidden="false" customHeight="true" outlineLevel="4" collapsed="false">
      <c r="A15" s="57" t="s">
        <v>48</v>
      </c>
      <c r="B15" s="58" t="n">
        <f aca="false">D15+R15</f>
        <v>0</v>
      </c>
      <c r="C15" s="58"/>
      <c r="D15" s="62" t="n">
        <f aca="false">SUM(E15:M15)+O15+P15</f>
        <v>0</v>
      </c>
      <c r="E15" s="62" t="n">
        <f aca="false">JUNEYTD!E15-MayYTD!E15</f>
        <v>0</v>
      </c>
      <c r="F15" s="62" t="n">
        <f aca="false">JUNEYTD!F15-MayYTD!F15</f>
        <v>0</v>
      </c>
      <c r="G15" s="62" t="n">
        <f aca="false">JUNEYTD!G15-MayYTD!G15</f>
        <v>0</v>
      </c>
      <c r="H15" s="62" t="n">
        <f aca="false">JUNEYTD!H15-MayYTD!H15</f>
        <v>0</v>
      </c>
      <c r="I15" s="62" t="n">
        <f aca="false">JUNEYTD!I15-MayYTD!I15</f>
        <v>0</v>
      </c>
      <c r="J15" s="62" t="n">
        <f aca="false">JUNEYTD!J15-MayYTD!J15</f>
        <v>0</v>
      </c>
      <c r="K15" s="62" t="n">
        <f aca="false">JUNEYTD!K15-MayYTD!K15</f>
        <v>0</v>
      </c>
      <c r="L15" s="62" t="n">
        <f aca="false">JUNEYTD!L15-MayYTD!L15</f>
        <v>0</v>
      </c>
      <c r="M15" s="62" t="n">
        <f aca="false">JUNEYTD!M15-MayYTD!M15</f>
        <v>0</v>
      </c>
      <c r="N15" s="62" t="n">
        <f aca="false">M15+L15</f>
        <v>0</v>
      </c>
      <c r="O15" s="62" t="n">
        <f aca="false">JUNEYTD!O15-MayYTD!O15</f>
        <v>0</v>
      </c>
      <c r="P15" s="62" t="n">
        <f aca="false">JUNEYTD!Q15-MayYTD!P15</f>
        <v>0</v>
      </c>
      <c r="R15" s="62" t="n">
        <f aca="false">JUNEYTD!S15-MayYTD!R15</f>
        <v>0</v>
      </c>
    </row>
    <row r="16" customFormat="false" ht="12.75" hidden="false" customHeight="true" outlineLevel="4" collapsed="false">
      <c r="A16" s="57" t="s">
        <v>51</v>
      </c>
      <c r="B16" s="58" t="n">
        <f aca="false">D16+R16</f>
        <v>298.709</v>
      </c>
      <c r="C16" s="58"/>
      <c r="D16" s="62" t="n">
        <f aca="false">SUM(E16:M16)+O16+P16</f>
        <v>-2247.106</v>
      </c>
      <c r="E16" s="62" t="n">
        <f aca="false">JUNEYTD!E16-MayYTD!E16</f>
        <v>-394.36</v>
      </c>
      <c r="F16" s="62" t="n">
        <f aca="false">JUNEYTD!F16-MayYTD!F16</f>
        <v>0</v>
      </c>
      <c r="G16" s="62" t="n">
        <f aca="false">JUNEYTD!G16-MayYTD!G16</f>
        <v>-1364.815</v>
      </c>
      <c r="H16" s="62" t="n">
        <f aca="false">JUNEYTD!H16-MayYTD!H16</f>
        <v>-487.931</v>
      </c>
      <c r="I16" s="62" t="n">
        <f aca="false">JUNEYTD!I16-MayYTD!I16</f>
        <v>0</v>
      </c>
      <c r="J16" s="62" t="n">
        <f aca="false">JUNEYTD!J16-MayYTD!J16</f>
        <v>0</v>
      </c>
      <c r="K16" s="62" t="n">
        <f aca="false">JUNEYTD!K16-MayYTD!K16</f>
        <v>0</v>
      </c>
      <c r="L16" s="62" t="n">
        <f aca="false">JUNEYTD!L16-MayYTD!L16</f>
        <v>0</v>
      </c>
      <c r="M16" s="62" t="n">
        <f aca="false">JUNEYTD!M16-MayYTD!M16</f>
        <v>0</v>
      </c>
      <c r="N16" s="62" t="n">
        <f aca="false">M16+L16</f>
        <v>0</v>
      </c>
      <c r="O16" s="62" t="n">
        <f aca="false">JUNEYTD!O16-MayYTD!O16</f>
        <v>0</v>
      </c>
      <c r="P16" s="62" t="n">
        <f aca="false">JUNEYTD!Q16-MayYTD!P16</f>
        <v>0</v>
      </c>
      <c r="R16" s="62" t="n">
        <f aca="false">JUNEYTD!S16-MayYTD!R16</f>
        <v>2545.815</v>
      </c>
    </row>
    <row r="17" customFormat="false" ht="12.75" hidden="false" customHeight="true" outlineLevel="4" collapsed="false">
      <c r="A17" s="57" t="s">
        <v>52</v>
      </c>
      <c r="B17" s="58" t="n">
        <f aca="false">D17+R17</f>
        <v>801</v>
      </c>
      <c r="C17" s="58"/>
      <c r="D17" s="62" t="n">
        <f aca="false">SUM(E17:M17)+O17+P17</f>
        <v>801</v>
      </c>
      <c r="E17" s="62" t="n">
        <f aca="false">JUNEYTD!E17-MayYTD!E17</f>
        <v>801</v>
      </c>
      <c r="F17" s="62" t="n">
        <f aca="false">JUNEYTD!F17-MayYTD!F17</f>
        <v>0</v>
      </c>
      <c r="G17" s="62" t="n">
        <f aca="false">JUNEYTD!G17-MayYTD!G17</f>
        <v>0</v>
      </c>
      <c r="H17" s="62" t="n">
        <f aca="false">JUNEYTD!H17-MayYTD!H17</f>
        <v>0</v>
      </c>
      <c r="I17" s="62" t="n">
        <f aca="false">JUNEYTD!I17-MayYTD!I17</f>
        <v>0</v>
      </c>
      <c r="J17" s="62" t="n">
        <f aca="false">JUNEYTD!J17-MayYTD!J17</f>
        <v>0</v>
      </c>
      <c r="K17" s="62" t="n">
        <f aca="false">JUNEYTD!K17-MayYTD!K17</f>
        <v>0</v>
      </c>
      <c r="L17" s="62" t="n">
        <f aca="false">JUNEYTD!L17-MayYTD!L17</f>
        <v>0</v>
      </c>
      <c r="M17" s="62" t="n">
        <f aca="false">JUNEYTD!M17-MayYTD!M17</f>
        <v>0</v>
      </c>
      <c r="N17" s="62" t="n">
        <f aca="false">M17+L17</f>
        <v>0</v>
      </c>
      <c r="O17" s="62" t="n">
        <f aca="false">JUNEYTD!O17-MayYTD!O17</f>
        <v>0</v>
      </c>
      <c r="P17" s="62" t="n">
        <f aca="false">JUNEYTD!Q17-MayYTD!P17</f>
        <v>0</v>
      </c>
      <c r="R17" s="62" t="n">
        <f aca="false">JUNEYTD!S17-MayYTD!R17</f>
        <v>0</v>
      </c>
    </row>
    <row r="18" customFormat="false" ht="12.75" hidden="false" customHeight="true" outlineLevel="4" collapsed="false">
      <c r="A18" s="57" t="s">
        <v>53</v>
      </c>
      <c r="B18" s="63" t="n">
        <f aca="false">D18+R18</f>
        <v>17522</v>
      </c>
      <c r="C18" s="58"/>
      <c r="D18" s="62" t="n">
        <f aca="false">SUM(E18:M18)+O18+P18</f>
        <v>17514</v>
      </c>
      <c r="E18" s="62" t="n">
        <f aca="false">JUNEYTD!E18-MayYTD!E18</f>
        <v>-9429</v>
      </c>
      <c r="F18" s="62" t="n">
        <f aca="false">JUNEYTD!F18-MayYTD!F18</f>
        <v>479</v>
      </c>
      <c r="G18" s="62" t="n">
        <f aca="false">JUNEYTD!G18-MayYTD!G18</f>
        <v>0</v>
      </c>
      <c r="H18" s="62" t="n">
        <f aca="false">JUNEYTD!H18-MayYTD!H18</f>
        <v>0</v>
      </c>
      <c r="I18" s="62" t="n">
        <f aca="false">JUNEYTD!I18-MayYTD!I18</f>
        <v>0</v>
      </c>
      <c r="J18" s="62" t="n">
        <f aca="false">JUNEYTD!J18-MayYTD!J18</f>
        <v>104</v>
      </c>
      <c r="K18" s="62" t="n">
        <f aca="false">JUNEYTD!K18-MayYTD!K18</f>
        <v>1</v>
      </c>
      <c r="L18" s="62" t="n">
        <f aca="false">JUNEYTD!L18-MayYTD!L18</f>
        <v>23247</v>
      </c>
      <c r="M18" s="62" t="n">
        <f aca="false">JUNEYTD!M18-MayYTD!M18</f>
        <v>0</v>
      </c>
      <c r="N18" s="62" t="n">
        <f aca="false">M18+L18</f>
        <v>23247</v>
      </c>
      <c r="O18" s="62" t="n">
        <f aca="false">JUNEYTD!O18-MayYTD!O18</f>
        <v>3280</v>
      </c>
      <c r="P18" s="62" t="n">
        <f aca="false">JUNEYTD!Q18-MayYTD!P18</f>
        <v>-168</v>
      </c>
      <c r="R18" s="62" t="n">
        <f aca="false">JUNEYTD!S18-MayYTD!R18</f>
        <v>8</v>
      </c>
    </row>
    <row r="19" customFormat="false" ht="12.75" hidden="false" customHeight="true" outlineLevel="4" collapsed="false">
      <c r="A19" s="57" t="s">
        <v>54</v>
      </c>
      <c r="B19" s="66" t="n">
        <f aca="false">SUM(B10:B18)</f>
        <v>62981.179</v>
      </c>
      <c r="C19" s="58"/>
      <c r="D19" s="66" t="n">
        <f aca="false">SUM(D10:D18)</f>
        <v>62042.838</v>
      </c>
      <c r="E19" s="66" t="n">
        <f aca="false">SUM(E10:E18)</f>
        <v>31024.705</v>
      </c>
      <c r="F19" s="66" t="n">
        <f aca="false">SUM(F10:F18)</f>
        <v>4848.02699999998</v>
      </c>
      <c r="G19" s="66" t="n">
        <f aca="false">SUM(G10:G18)</f>
        <v>0</v>
      </c>
      <c r="H19" s="66" t="n">
        <f aca="false">SUM(H10:H18)</f>
        <v>-64.018</v>
      </c>
      <c r="I19" s="66" t="n">
        <f aca="false">SUM(I10:I18)</f>
        <v>6.426</v>
      </c>
      <c r="J19" s="66" t="n">
        <f aca="false">SUM(J10:J18)</f>
        <v>282.576</v>
      </c>
      <c r="K19" s="66" t="n">
        <f aca="false">SUM(K10:K18)</f>
        <v>0.301000000000371</v>
      </c>
      <c r="L19" s="66" t="n">
        <f aca="false">SUM(L10:L18)</f>
        <v>24032.786</v>
      </c>
      <c r="M19" s="66" t="n">
        <f aca="false">SUM(M10:M18)</f>
        <v>0</v>
      </c>
      <c r="N19" s="66" t="n">
        <f aca="false">SUM(N10:N18)</f>
        <v>24032.786</v>
      </c>
      <c r="O19" s="66" t="n">
        <f aca="false">SUM(O10:O18)</f>
        <v>2124.456</v>
      </c>
      <c r="P19" s="66" t="n">
        <f aca="false">SUM(P10:P18)</f>
        <v>-212.421</v>
      </c>
      <c r="R19" s="66" t="n">
        <f aca="false">SUM(R10:R18)</f>
        <v>938.341000000001</v>
      </c>
    </row>
    <row r="20" customFormat="false" ht="12.75" hidden="false" customHeight="true" outlineLevel="4" collapsed="false">
      <c r="A20" s="57"/>
      <c r="B20" s="42"/>
      <c r="C20" s="58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R20" s="42"/>
    </row>
    <row r="21" customFormat="false" ht="12.75" hidden="false" customHeight="true" outlineLevel="4" collapsed="false">
      <c r="A21" s="57" t="s">
        <v>103</v>
      </c>
      <c r="B21" s="58"/>
      <c r="C21" s="58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</row>
    <row r="22" customFormat="false" ht="12.75" hidden="false" customHeight="true" outlineLevel="4" collapsed="false">
      <c r="A22" s="57" t="s">
        <v>56</v>
      </c>
      <c r="B22" s="58" t="n">
        <f aca="false">D22+R22</f>
        <v>-39952</v>
      </c>
      <c r="C22" s="58"/>
      <c r="D22" s="62" t="n">
        <f aca="false">SUM(E22:M22)+O22+P22</f>
        <v>-39904</v>
      </c>
      <c r="E22" s="62" t="n">
        <f aca="false">JUNEYTD!E22-MayYTD!E22</f>
        <v>-54450</v>
      </c>
      <c r="F22" s="62" t="n">
        <f aca="false">JUNEYTD!F22-MayYTD!F22</f>
        <v>4</v>
      </c>
      <c r="G22" s="62" t="n">
        <f aca="false">JUNEYTD!G22-MayYTD!G22</f>
        <v>0</v>
      </c>
      <c r="H22" s="62" t="n">
        <f aca="false">JUNEYTD!H22-MayYTD!H22</f>
        <v>-40</v>
      </c>
      <c r="I22" s="62" t="n">
        <f aca="false">JUNEYTD!I22-MayYTD!I22</f>
        <v>1</v>
      </c>
      <c r="J22" s="62" t="n">
        <f aca="false">JUNEYTD!J22-MayYTD!J22</f>
        <v>-505</v>
      </c>
      <c r="K22" s="62" t="n">
        <f aca="false">JUNEYTD!K22-MayYTD!K22</f>
        <v>14</v>
      </c>
      <c r="L22" s="62" t="n">
        <f aca="false">JUNEYTD!L22-MayYTD!L22</f>
        <v>0</v>
      </c>
      <c r="M22" s="62" t="n">
        <f aca="false">JUNEYTD!M22-MayYTD!M22</f>
        <v>0</v>
      </c>
      <c r="N22" s="62" t="n">
        <f aca="false">M22+L22</f>
        <v>0</v>
      </c>
      <c r="O22" s="62" t="n">
        <f aca="false">JUNEYTD!O22-MayYTD!O22</f>
        <v>15148</v>
      </c>
      <c r="P22" s="62" t="n">
        <f aca="false">JUNEYTD!Q22-MayYTD!P22</f>
        <v>-76</v>
      </c>
      <c r="R22" s="62" t="n">
        <f aca="false">JUNEYTD!S22-MayYTD!R22</f>
        <v>-48</v>
      </c>
    </row>
    <row r="23" customFormat="false" ht="12.75" hidden="false" customHeight="true" outlineLevel="4" collapsed="false">
      <c r="A23" s="57" t="s">
        <v>58</v>
      </c>
      <c r="B23" s="58" t="n">
        <f aca="false">D23+R23</f>
        <v>-3270</v>
      </c>
      <c r="C23" s="58"/>
      <c r="D23" s="62" t="n">
        <f aca="false">SUM(E23:M23)+O23+P23</f>
        <v>-3270</v>
      </c>
      <c r="E23" s="62" t="n">
        <f aca="false">JUNEYTD!E23-MayYTD!E23</f>
        <v>-6310</v>
      </c>
      <c r="F23" s="62" t="n">
        <f aca="false">JUNEYTD!F23-MayYTD!F23</f>
        <v>-203</v>
      </c>
      <c r="G23" s="62" t="n">
        <f aca="false">JUNEYTD!G23-MayYTD!G23</f>
        <v>0</v>
      </c>
      <c r="H23" s="62" t="n">
        <f aca="false">JUNEYTD!H23-MayYTD!H23</f>
        <v>0</v>
      </c>
      <c r="I23" s="62" t="n">
        <f aca="false">JUNEYTD!I23-MayYTD!I23</f>
        <v>-11</v>
      </c>
      <c r="J23" s="62" t="n">
        <f aca="false">JUNEYTD!J23-MayYTD!J23</f>
        <v>3059</v>
      </c>
      <c r="K23" s="62" t="n">
        <f aca="false">JUNEYTD!K23-MayYTD!K23</f>
        <v>-69</v>
      </c>
      <c r="L23" s="62" t="n">
        <f aca="false">JUNEYTD!L23-MayYTD!L23</f>
        <v>-23254</v>
      </c>
      <c r="M23" s="62" t="n">
        <f aca="false">JUNEYTD!M23-MayYTD!M23</f>
        <v>0</v>
      </c>
      <c r="N23" s="62" t="n">
        <f aca="false">M23+L23</f>
        <v>-23254</v>
      </c>
      <c r="O23" s="62" t="n">
        <f aca="false">JUNEYTD!O23-MayYTD!O23</f>
        <v>23393</v>
      </c>
      <c r="P23" s="62" t="n">
        <f aca="false">JUNEYTD!Q23-MayYTD!P23</f>
        <v>125</v>
      </c>
      <c r="R23" s="62" t="n">
        <f aca="false">JUNEYTD!S23-MayYTD!R23</f>
        <v>0</v>
      </c>
    </row>
    <row r="24" customFormat="false" ht="12.75" hidden="false" customHeight="true" outlineLevel="4" collapsed="false">
      <c r="A24" s="57" t="s">
        <v>60</v>
      </c>
      <c r="B24" s="58" t="n">
        <f aca="false">D24+R24</f>
        <v>20</v>
      </c>
      <c r="C24" s="58"/>
      <c r="D24" s="62" t="n">
        <f aca="false">SUM(E24:M24)+O24+P24</f>
        <v>20</v>
      </c>
      <c r="E24" s="62" t="n">
        <f aca="false">JUNEYTD!E24-MayYTD!E24</f>
        <v>17</v>
      </c>
      <c r="F24" s="62" t="n">
        <f aca="false">JUNEYTD!F24-MayYTD!F24</f>
        <v>3</v>
      </c>
      <c r="G24" s="62" t="n">
        <f aca="false">JUNEYTD!G24-MayYTD!G24</f>
        <v>0</v>
      </c>
      <c r="H24" s="62" t="n">
        <f aca="false">JUNEYTD!H24-MayYTD!H24</f>
        <v>0</v>
      </c>
      <c r="I24" s="62" t="n">
        <f aca="false">JUNEYTD!I24-MayYTD!I24</f>
        <v>0</v>
      </c>
      <c r="J24" s="62" t="n">
        <f aca="false">JUNEYTD!J24-MayYTD!J24</f>
        <v>0</v>
      </c>
      <c r="K24" s="62" t="n">
        <f aca="false">JUNEYTD!K24-MayYTD!K24</f>
        <v>0</v>
      </c>
      <c r="L24" s="62" t="n">
        <f aca="false">JUNEYTD!L24-MayYTD!L24</f>
        <v>0</v>
      </c>
      <c r="M24" s="62" t="n">
        <f aca="false">JUNEYTD!M24-MayYTD!M24</f>
        <v>0</v>
      </c>
      <c r="N24" s="62" t="n">
        <f aca="false">M24+L24</f>
        <v>0</v>
      </c>
      <c r="O24" s="62" t="n">
        <f aca="false">JUNEYTD!O24-MayYTD!O24</f>
        <v>0</v>
      </c>
      <c r="P24" s="62" t="n">
        <f aca="false">JUNEYTD!Q24-MayYTD!P24</f>
        <v>0</v>
      </c>
      <c r="R24" s="62" t="n">
        <f aca="false">JUNEYTD!S24-MayYTD!R24</f>
        <v>0</v>
      </c>
    </row>
    <row r="25" customFormat="false" ht="12.75" hidden="false" customHeight="true" outlineLevel="4" collapsed="false">
      <c r="A25" s="57" t="s">
        <v>61</v>
      </c>
      <c r="B25" s="58" t="n">
        <f aca="false">D25+R25</f>
        <v>1</v>
      </c>
      <c r="C25" s="58"/>
      <c r="D25" s="62" t="n">
        <f aca="false">SUM(E25:M25)+O25+P25</f>
        <v>1</v>
      </c>
      <c r="E25" s="62" t="n">
        <f aca="false">JUNEYTD!E25-MayYTD!E25</f>
        <v>0</v>
      </c>
      <c r="F25" s="62" t="n">
        <f aca="false">JUNEYTD!F25-MayYTD!F25</f>
        <v>1</v>
      </c>
      <c r="G25" s="62" t="n">
        <f aca="false">JUNEYTD!G25-MayYTD!G25</f>
        <v>0</v>
      </c>
      <c r="H25" s="62" t="n">
        <f aca="false">JUNEYTD!H25-MayYTD!H25</f>
        <v>0</v>
      </c>
      <c r="I25" s="62" t="n">
        <f aca="false">JUNEYTD!I25-MayYTD!I25</f>
        <v>0</v>
      </c>
      <c r="J25" s="62" t="n">
        <f aca="false">JUNEYTD!J25-MayYTD!J25</f>
        <v>0</v>
      </c>
      <c r="K25" s="62" t="n">
        <f aca="false">JUNEYTD!K25-MayYTD!K25</f>
        <v>0</v>
      </c>
      <c r="L25" s="62" t="n">
        <f aca="false">JUNEYTD!L25-MayYTD!L25</f>
        <v>0</v>
      </c>
      <c r="M25" s="62" t="n">
        <f aca="false">JUNEYTD!M25-MayYTD!M25</f>
        <v>0</v>
      </c>
      <c r="N25" s="62" t="n">
        <f aca="false">M25+L25</f>
        <v>0</v>
      </c>
      <c r="O25" s="62" t="n">
        <f aca="false">JUNEYTD!O25-MayYTD!O25</f>
        <v>0</v>
      </c>
      <c r="P25" s="62" t="n">
        <f aca="false">JUNEYTD!Q25-MayYTD!P25</f>
        <v>0</v>
      </c>
      <c r="R25" s="62" t="n">
        <f aca="false">JUNEYTD!S25-MayYTD!R25</f>
        <v>0</v>
      </c>
    </row>
    <row r="26" customFormat="false" ht="12.75" hidden="false" customHeight="true" outlineLevel="4" collapsed="false">
      <c r="A26" s="57" t="s">
        <v>62</v>
      </c>
      <c r="B26" s="58" t="n">
        <f aca="false">D26+R26</f>
        <v>4868</v>
      </c>
      <c r="C26" s="58"/>
      <c r="D26" s="62" t="n">
        <f aca="false">SUM(E26:M26)+O26+P26</f>
        <v>4861</v>
      </c>
      <c r="E26" s="62" t="n">
        <f aca="false">JUNEYTD!E26-MayYTD!E26</f>
        <v>6898</v>
      </c>
      <c r="F26" s="62" t="n">
        <f aca="false">JUNEYTD!F26-MayYTD!F26</f>
        <v>-1103</v>
      </c>
      <c r="G26" s="62" t="n">
        <f aca="false">JUNEYTD!G26-MayYTD!G26</f>
        <v>0</v>
      </c>
      <c r="H26" s="62" t="n">
        <f aca="false">JUNEYTD!H26-MayYTD!H26</f>
        <v>-511</v>
      </c>
      <c r="I26" s="62" t="n">
        <f aca="false">JUNEYTD!I26-MayYTD!I26</f>
        <v>0</v>
      </c>
      <c r="J26" s="62" t="n">
        <f aca="false">JUNEYTD!J26-MayYTD!J26</f>
        <v>-203</v>
      </c>
      <c r="K26" s="62" t="n">
        <f aca="false">JUNEYTD!K26-MayYTD!K26</f>
        <v>-3</v>
      </c>
      <c r="L26" s="62" t="n">
        <f aca="false">JUNEYTD!L26-MayYTD!L26</f>
        <v>0</v>
      </c>
      <c r="M26" s="62" t="n">
        <f aca="false">JUNEYTD!M26-MayYTD!M26</f>
        <v>0</v>
      </c>
      <c r="N26" s="62" t="n">
        <f aca="false">M26+L26</f>
        <v>0</v>
      </c>
      <c r="O26" s="62" t="n">
        <f aca="false">JUNEYTD!O26-MayYTD!O26</f>
        <v>-186</v>
      </c>
      <c r="P26" s="62" t="n">
        <f aca="false">JUNEYTD!Q26-MayYTD!P26</f>
        <v>-31</v>
      </c>
      <c r="R26" s="62" t="n">
        <f aca="false">JUNEYTD!S26-MayYTD!R26</f>
        <v>7</v>
      </c>
    </row>
    <row r="27" customFormat="false" ht="12.75" hidden="false" customHeight="true" outlineLevel="4" collapsed="false">
      <c r="A27" s="57" t="s">
        <v>104</v>
      </c>
      <c r="B27" s="58" t="n">
        <f aca="false">D27+R27</f>
        <v>-5885</v>
      </c>
      <c r="C27" s="58"/>
      <c r="D27" s="62" t="n">
        <f aca="false">SUM(E27:M27)+O27+P27</f>
        <v>-5888</v>
      </c>
      <c r="E27" s="62" t="n">
        <f aca="false">JUNEYTD!E27-MayYTD!E27</f>
        <v>-5115</v>
      </c>
      <c r="F27" s="62" t="n">
        <f aca="false">JUNEYTD!F27-MayYTD!F27</f>
        <v>-774</v>
      </c>
      <c r="G27" s="62" t="n">
        <f aca="false">JUNEYTD!G27-MayYTD!G27</f>
        <v>0</v>
      </c>
      <c r="H27" s="62" t="n">
        <f aca="false">JUNEYTD!H27-MayYTD!H27</f>
        <v>1</v>
      </c>
      <c r="I27" s="62" t="n">
        <f aca="false">JUNEYTD!I27-MayYTD!I27</f>
        <v>0</v>
      </c>
      <c r="J27" s="62" t="n">
        <f aca="false">JUNEYTD!J27-MayYTD!J27</f>
        <v>0</v>
      </c>
      <c r="K27" s="62" t="n">
        <f aca="false">JUNEYTD!K27-MayYTD!K27</f>
        <v>0</v>
      </c>
      <c r="L27" s="62" t="n">
        <f aca="false">JUNEYTD!L27-MayYTD!L27</f>
        <v>0</v>
      </c>
      <c r="M27" s="62" t="n">
        <f aca="false">JUNEYTD!M27-MayYTD!M27</f>
        <v>0</v>
      </c>
      <c r="N27" s="62" t="n">
        <f aca="false">M27+L27</f>
        <v>0</v>
      </c>
      <c r="O27" s="62" t="n">
        <f aca="false">JUNEYTD!O27-MayYTD!O27</f>
        <v>0</v>
      </c>
      <c r="P27" s="62" t="n">
        <f aca="false">JUNEYTD!Q27-MayYTD!P27</f>
        <v>0</v>
      </c>
      <c r="R27" s="62" t="n">
        <f aca="false">JUNEYTD!S27-MayYTD!R27</f>
        <v>3</v>
      </c>
    </row>
    <row r="28" customFormat="false" ht="12.75" hidden="false" customHeight="true" outlineLevel="4" collapsed="false">
      <c r="A28" s="57" t="s">
        <v>64</v>
      </c>
      <c r="B28" s="58" t="n">
        <f aca="false">D28+R28</f>
        <v>-1723</v>
      </c>
      <c r="C28" s="58"/>
      <c r="D28" s="62" t="n">
        <f aca="false">SUM(E28:M28)+O28+P28</f>
        <v>-1813</v>
      </c>
      <c r="E28" s="62" t="n">
        <f aca="false">JUNEYTD!E28-MayYTD!E28</f>
        <v>-2510</v>
      </c>
      <c r="F28" s="62" t="n">
        <f aca="false">JUNEYTD!F28-MayYTD!F28</f>
        <v>695</v>
      </c>
      <c r="G28" s="62" t="n">
        <f aca="false">JUNEYTD!G28-MayYTD!G28</f>
        <v>0</v>
      </c>
      <c r="H28" s="62" t="n">
        <f aca="false">JUNEYTD!H28-MayYTD!H28</f>
        <v>3</v>
      </c>
      <c r="I28" s="62" t="n">
        <f aca="false">JUNEYTD!I28-MayYTD!I28</f>
        <v>0</v>
      </c>
      <c r="J28" s="62" t="n">
        <f aca="false">JUNEYTD!J28-MayYTD!J28</f>
        <v>-1</v>
      </c>
      <c r="K28" s="62" t="n">
        <f aca="false">JUNEYTD!K28-MayYTD!K28</f>
        <v>-1</v>
      </c>
      <c r="L28" s="62" t="n">
        <f aca="false">JUNEYTD!L28-MayYTD!L28</f>
        <v>0</v>
      </c>
      <c r="M28" s="62" t="n">
        <f aca="false">JUNEYTD!M28-MayYTD!M28</f>
        <v>0</v>
      </c>
      <c r="N28" s="62" t="n">
        <f aca="false">M28+L28</f>
        <v>0</v>
      </c>
      <c r="O28" s="62" t="n">
        <f aca="false">JUNEYTD!O28-MayYTD!O28</f>
        <v>1</v>
      </c>
      <c r="P28" s="62" t="n">
        <f aca="false">JUNEYTD!Q28-MayYTD!P28</f>
        <v>0</v>
      </c>
      <c r="R28" s="62" t="n">
        <f aca="false">+JUNEYTD!S28-MayYTD!R28</f>
        <v>90</v>
      </c>
    </row>
    <row r="29" customFormat="false" ht="12.75" hidden="false" customHeight="true" outlineLevel="4" collapsed="false">
      <c r="A29" s="57" t="s">
        <v>65</v>
      </c>
      <c r="B29" s="58" t="n">
        <f aca="false">D29+R29</f>
        <v>-4802</v>
      </c>
      <c r="C29" s="58"/>
      <c r="D29" s="62" t="n">
        <f aca="false">SUM(E29:M29)+O29+P29</f>
        <v>-4802</v>
      </c>
      <c r="E29" s="62" t="n">
        <f aca="false">JUNEYTD!E29-MayYTD!E29</f>
        <v>-5875</v>
      </c>
      <c r="F29" s="62" t="n">
        <f aca="false">JUNEYTD!F29-MayYTD!F29</f>
        <v>1073</v>
      </c>
      <c r="G29" s="62" t="n">
        <f aca="false">JUNEYTD!G29-MayYTD!G29</f>
        <v>0</v>
      </c>
      <c r="H29" s="62" t="n">
        <f aca="false">JUNEYTD!H29-MayYTD!H29</f>
        <v>0</v>
      </c>
      <c r="I29" s="62" t="n">
        <f aca="false">JUNEYTD!I29-MayYTD!I29</f>
        <v>0</v>
      </c>
      <c r="J29" s="62" t="n">
        <f aca="false">JUNEYTD!J29-MayYTD!J29</f>
        <v>0</v>
      </c>
      <c r="K29" s="62" t="n">
        <f aca="false">JUNEYTD!K29-MayYTD!K29</f>
        <v>0</v>
      </c>
      <c r="L29" s="62" t="n">
        <f aca="false">JUNEYTD!L29-MayYTD!L29</f>
        <v>0</v>
      </c>
      <c r="M29" s="62" t="n">
        <f aca="false">JUNEYTD!M29-MayYTD!M29</f>
        <v>0</v>
      </c>
      <c r="N29" s="62" t="n">
        <f aca="false">M29+L29</f>
        <v>0</v>
      </c>
      <c r="O29" s="62" t="n">
        <f aca="false">JUNEYTD!O29-MayYTD!O29</f>
        <v>0</v>
      </c>
      <c r="P29" s="62" t="n">
        <f aca="false">JUNEYTD!Q29-MayYTD!P29</f>
        <v>0</v>
      </c>
      <c r="R29" s="62" t="n">
        <f aca="false">+JUNEYTD!S29-MayYTD!R29</f>
        <v>0</v>
      </c>
    </row>
    <row r="30" customFormat="false" ht="12.75" hidden="false" customHeight="true" outlineLevel="4" collapsed="false">
      <c r="A30" s="57" t="s">
        <v>66</v>
      </c>
      <c r="B30" s="63" t="n">
        <f aca="false">D30+R30</f>
        <v>5043</v>
      </c>
      <c r="C30" s="58"/>
      <c r="D30" s="62" t="n">
        <f aca="false">SUM(E30:M30)+O30+P30</f>
        <v>5043</v>
      </c>
      <c r="E30" s="62" t="n">
        <f aca="false">JUNEYTD!E30-MayYTD!E30</f>
        <v>2033</v>
      </c>
      <c r="F30" s="62" t="n">
        <f aca="false">JUNEYTD!F30-MayYTD!F30</f>
        <v>208</v>
      </c>
      <c r="G30" s="62" t="n">
        <f aca="false">JUNEYTD!G30-MayYTD!G30</f>
        <v>0</v>
      </c>
      <c r="H30" s="62" t="n">
        <f aca="false">JUNEYTD!H30-MayYTD!H30</f>
        <v>-448</v>
      </c>
      <c r="I30" s="62" t="n">
        <f aca="false">JUNEYTD!I30-MayYTD!I30</f>
        <v>0</v>
      </c>
      <c r="J30" s="62" t="n">
        <f aca="false">JUNEYTD!J30-MayYTD!J30</f>
        <v>0</v>
      </c>
      <c r="K30" s="62" t="n">
        <f aca="false">JUNEYTD!K30-MayYTD!K30</f>
        <v>0</v>
      </c>
      <c r="L30" s="62" t="n">
        <f aca="false">JUNEYTD!L30-MayYTD!L30</f>
        <v>0</v>
      </c>
      <c r="M30" s="62" t="n">
        <f aca="false">JUNEYTD!M30-MayYTD!M30</f>
        <v>0</v>
      </c>
      <c r="N30" s="62" t="n">
        <f aca="false">M30+L30</f>
        <v>0</v>
      </c>
      <c r="O30" s="62" t="n">
        <f aca="false">JUNEYTD!O30-MayYTD!O30</f>
        <v>3250</v>
      </c>
      <c r="P30" s="62" t="n">
        <f aca="false">JUNEYTD!Q30-MayYTD!P30</f>
        <v>0</v>
      </c>
      <c r="R30" s="62" t="n">
        <f aca="false">JUNEYTD!S30-MayYTD!R30</f>
        <v>0</v>
      </c>
    </row>
    <row r="31" customFormat="false" ht="12.75" hidden="false" customHeight="true" outlineLevel="4" collapsed="false">
      <c r="A31" s="57" t="s">
        <v>67</v>
      </c>
      <c r="B31" s="67" t="n">
        <f aca="false">SUM(B21:B30)</f>
        <v>-45700</v>
      </c>
      <c r="C31" s="68"/>
      <c r="D31" s="67" t="n">
        <f aca="false">SUM(D21:D30)</f>
        <v>-45752</v>
      </c>
      <c r="E31" s="67" t="n">
        <f aca="false">SUM(E21:E30)</f>
        <v>-65312</v>
      </c>
      <c r="F31" s="67" t="n">
        <f aca="false">SUM(F21:F30)</f>
        <v>-96</v>
      </c>
      <c r="G31" s="67" t="n">
        <f aca="false">SUM(G21:G30)</f>
        <v>0</v>
      </c>
      <c r="H31" s="67" t="n">
        <f aca="false">SUM(H21:H30)</f>
        <v>-995</v>
      </c>
      <c r="I31" s="67" t="n">
        <f aca="false">SUM(I21:I30)</f>
        <v>-10</v>
      </c>
      <c r="J31" s="67" t="n">
        <f aca="false">SUM(J21:J30)</f>
        <v>2350</v>
      </c>
      <c r="K31" s="67" t="n">
        <f aca="false">SUM(K21:K30)</f>
        <v>-59</v>
      </c>
      <c r="L31" s="67" t="n">
        <f aca="false">SUM(L21:L30)</f>
        <v>-23254</v>
      </c>
      <c r="M31" s="67" t="n">
        <f aca="false">SUM(M21:M30)</f>
        <v>0</v>
      </c>
      <c r="N31" s="67" t="n">
        <f aca="false">SUM(N21:N30)</f>
        <v>-23254</v>
      </c>
      <c r="O31" s="67" t="n">
        <f aca="false">SUM(O21:O30)</f>
        <v>41606</v>
      </c>
      <c r="P31" s="67" t="n">
        <f aca="false">SUM(P21:P30)</f>
        <v>18</v>
      </c>
      <c r="R31" s="67" t="n">
        <f aca="false">SUM(R21:R30)</f>
        <v>52</v>
      </c>
    </row>
    <row r="32" customFormat="false" ht="12.75" hidden="false" customHeight="true" outlineLevel="4" collapsed="false">
      <c r="A32" s="57"/>
      <c r="B32" s="69"/>
      <c r="C32" s="68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42"/>
      <c r="R32" s="69"/>
    </row>
    <row r="33" customFormat="false" ht="12.75" hidden="false" customHeight="true" outlineLevel="3" collapsed="false">
      <c r="A33" s="57" t="s">
        <v>68</v>
      </c>
      <c r="B33" s="70" t="n">
        <f aca="false">B19+B31</f>
        <v>17281.179</v>
      </c>
      <c r="C33" s="58"/>
      <c r="D33" s="70" t="n">
        <f aca="false">D19+D31</f>
        <v>16290.838</v>
      </c>
      <c r="E33" s="70" t="n">
        <f aca="false">E19+E31</f>
        <v>-34287.295</v>
      </c>
      <c r="F33" s="70" t="n">
        <f aca="false">F19+F31</f>
        <v>4752.02699999998</v>
      </c>
      <c r="G33" s="70" t="n">
        <f aca="false">G19+G31</f>
        <v>0</v>
      </c>
      <c r="H33" s="70" t="n">
        <f aca="false">H19+H31</f>
        <v>-1059.018</v>
      </c>
      <c r="I33" s="70" t="n">
        <f aca="false">I19+I31</f>
        <v>-3.574</v>
      </c>
      <c r="J33" s="70" t="n">
        <f aca="false">J19+J31</f>
        <v>2632.576</v>
      </c>
      <c r="K33" s="70" t="n">
        <f aca="false">K19+K31</f>
        <v>-58.6989999999996</v>
      </c>
      <c r="L33" s="70" t="n">
        <f aca="false">L19+L31</f>
        <v>778.786</v>
      </c>
      <c r="M33" s="70" t="n">
        <f aca="false">M19+M31</f>
        <v>0</v>
      </c>
      <c r="N33" s="70" t="n">
        <f aca="false">N19+N31</f>
        <v>778.786</v>
      </c>
      <c r="O33" s="70" t="n">
        <f aca="false">O19+O31</f>
        <v>43730.456</v>
      </c>
      <c r="P33" s="70" t="n">
        <f aca="false">P19+P31</f>
        <v>-194.421</v>
      </c>
      <c r="R33" s="70" t="n">
        <f aca="false">R19+R31</f>
        <v>990.341000000001</v>
      </c>
    </row>
    <row r="34" customFormat="false" ht="12.75" hidden="false" customHeight="true" outlineLevel="3" collapsed="false">
      <c r="B34" s="58"/>
      <c r="C34" s="58"/>
    </row>
    <row r="35" customFormat="false" ht="12.75" hidden="false" customHeight="true" outlineLevel="3" collapsed="false">
      <c r="A35" s="61" t="s">
        <v>69</v>
      </c>
      <c r="B35" s="58"/>
      <c r="C35" s="58"/>
    </row>
    <row r="36" customFormat="false" ht="12.75" hidden="false" customHeight="true" outlineLevel="4" collapsed="false">
      <c r="A36" s="57" t="s">
        <v>70</v>
      </c>
      <c r="B36" s="58" t="n">
        <f aca="false">D36+R36</f>
        <v>15</v>
      </c>
      <c r="C36" s="58"/>
      <c r="D36" s="62" t="n">
        <f aca="false">SUM(E36:M36)+O36+P36</f>
        <v>15</v>
      </c>
      <c r="E36" s="62" t="n">
        <f aca="false">JUNEYTD!E36-MayYTD!E36</f>
        <v>15</v>
      </c>
      <c r="F36" s="62" t="n">
        <f aca="false">JUNEYTD!F36-MayYTD!F36</f>
        <v>0</v>
      </c>
      <c r="G36" s="62" t="n">
        <f aca="false">JUNEYTD!G36-MayYTD!G36</f>
        <v>0</v>
      </c>
      <c r="H36" s="62" t="n">
        <f aca="false">JUNEYTD!H36-MayYTD!H36</f>
        <v>0</v>
      </c>
      <c r="I36" s="62" t="n">
        <f aca="false">JUNEYTD!I36-MayYTD!I36</f>
        <v>0</v>
      </c>
      <c r="J36" s="62" t="n">
        <f aca="false">JUNEYTD!J36-MayYTD!J36</f>
        <v>0</v>
      </c>
      <c r="K36" s="62" t="n">
        <f aca="false">JUNEYTD!K36-MayYTD!K36</f>
        <v>0</v>
      </c>
      <c r="L36" s="62" t="n">
        <f aca="false">JUNEYTD!L36-MayYTD!L36</f>
        <v>0</v>
      </c>
      <c r="M36" s="62" t="n">
        <f aca="false">JUNEYTD!M36-MayYTD!M36</f>
        <v>0</v>
      </c>
      <c r="N36" s="76"/>
      <c r="O36" s="62" t="n">
        <f aca="false">JUNEYTD!O36-MayYTD!O36</f>
        <v>0</v>
      </c>
      <c r="P36" s="62" t="n">
        <f aca="false">JUNEYTD!Q36-MayYTD!P36</f>
        <v>0</v>
      </c>
    </row>
    <row r="37" customFormat="false" ht="12.75" hidden="false" customHeight="true" outlineLevel="4" collapsed="false">
      <c r="A37" s="57" t="s">
        <v>71</v>
      </c>
      <c r="B37" s="58" t="n">
        <f aca="false">D37+R37</f>
        <v>-6639</v>
      </c>
      <c r="C37" s="58"/>
      <c r="D37" s="62" t="n">
        <f aca="false">SUM(E37:M37)+O37+P37</f>
        <v>-6639</v>
      </c>
      <c r="E37" s="62" t="n">
        <f aca="false">JUNEYTD!E37-MayYTD!E37</f>
        <v>-4208</v>
      </c>
      <c r="F37" s="62" t="n">
        <f aca="false">JUNEYTD!F37-MayYTD!F37</f>
        <v>-2431</v>
      </c>
      <c r="G37" s="62" t="n">
        <f aca="false">JUNEYTD!G37-MayYTD!G37</f>
        <v>0</v>
      </c>
      <c r="H37" s="62" t="n">
        <f aca="false">JUNEYTD!H37-MayYTD!H37</f>
        <v>0</v>
      </c>
      <c r="I37" s="62" t="n">
        <f aca="false">JUNEYTD!I37-MayYTD!I37</f>
        <v>0</v>
      </c>
      <c r="J37" s="62" t="n">
        <f aca="false">JUNEYTD!J37-MayYTD!J37</f>
        <v>0</v>
      </c>
      <c r="K37" s="62" t="n">
        <f aca="false">JUNEYTD!K37-MayYTD!K37</f>
        <v>0</v>
      </c>
      <c r="L37" s="62" t="n">
        <f aca="false">JUNEYTD!L37-MayYTD!L37</f>
        <v>0</v>
      </c>
      <c r="M37" s="62" t="n">
        <f aca="false">JUNEYTD!M37-MayYTD!M37</f>
        <v>0</v>
      </c>
      <c r="N37" s="62" t="n">
        <f aca="false">M37+L37</f>
        <v>0</v>
      </c>
      <c r="O37" s="62" t="n">
        <f aca="false">JUNEYTD!O37-MayYTD!O37</f>
        <v>0</v>
      </c>
      <c r="P37" s="62" t="n">
        <f aca="false">JUNEYTD!Q37-MayYTD!P37</f>
        <v>0</v>
      </c>
    </row>
    <row r="38" customFormat="false" ht="12.75" hidden="false" customHeight="true" outlineLevel="4" collapsed="false">
      <c r="A38" s="57" t="s">
        <v>105</v>
      </c>
      <c r="B38" s="58" t="n">
        <f aca="false">D38+R38</f>
        <v>9940</v>
      </c>
      <c r="C38" s="58"/>
      <c r="D38" s="62" t="n">
        <f aca="false">SUM(E38:M38)+O38+P38</f>
        <v>9940</v>
      </c>
      <c r="E38" s="62" t="n">
        <f aca="false">JUNEYTD!E38-MayYTD!E38</f>
        <v>9889</v>
      </c>
      <c r="F38" s="62" t="n">
        <f aca="false">JUNEYTD!F38-MayYTD!F38</f>
        <v>51</v>
      </c>
      <c r="G38" s="62" t="n">
        <f aca="false">JUNEYTD!G38-MayYTD!G38</f>
        <v>0</v>
      </c>
      <c r="H38" s="62" t="n">
        <f aca="false">JUNEYTD!H38-MayYTD!H38</f>
        <v>0</v>
      </c>
      <c r="I38" s="62" t="n">
        <f aca="false">JUNEYTD!I38-MayYTD!I38</f>
        <v>0</v>
      </c>
      <c r="J38" s="62" t="n">
        <f aca="false">JUNEYTD!J38-MayYTD!J38</f>
        <v>0</v>
      </c>
      <c r="K38" s="62" t="n">
        <f aca="false">JUNEYTD!K38-MayYTD!K38</f>
        <v>0</v>
      </c>
      <c r="L38" s="62" t="n">
        <f aca="false">JUNEYTD!L38-MayYTD!L38</f>
        <v>0</v>
      </c>
      <c r="M38" s="62" t="n">
        <f aca="false">JUNEYTD!M38-MayYTD!M38</f>
        <v>0</v>
      </c>
      <c r="N38" s="62" t="n">
        <f aca="false">M38+L38</f>
        <v>0</v>
      </c>
      <c r="O38" s="62" t="n">
        <f aca="false">JUNEYTD!O38-MayYTD!O38</f>
        <v>0</v>
      </c>
      <c r="P38" s="62" t="n">
        <f aca="false">JUNEYTD!Q38-MayYTD!P38</f>
        <v>0</v>
      </c>
    </row>
    <row r="39" customFormat="false" ht="12.75" hidden="false" customHeight="true" outlineLevel="4" collapsed="false">
      <c r="A39" s="57" t="s">
        <v>106</v>
      </c>
      <c r="B39" s="58" t="n">
        <f aca="false">D39+R39</f>
        <v>0</v>
      </c>
      <c r="C39" s="58"/>
      <c r="D39" s="62" t="n">
        <f aca="false">SUM(E39:P39)</f>
        <v>0</v>
      </c>
      <c r="E39" s="62" t="n">
        <f aca="false">JUNEYTD!E39-MayYTD!E39</f>
        <v>0</v>
      </c>
      <c r="F39" s="62" t="n">
        <f aca="false">JUNEYTD!F39-MayYTD!F39</f>
        <v>0</v>
      </c>
      <c r="G39" s="62" t="n">
        <f aca="false">JUNEYTD!G39-MayYTD!G39</f>
        <v>0</v>
      </c>
      <c r="H39" s="62" t="n">
        <f aca="false">JUNEYTD!H39-MayYTD!H39</f>
        <v>0</v>
      </c>
      <c r="I39" s="62" t="n">
        <f aca="false">JUNEYTD!I39-MayYTD!I39</f>
        <v>0</v>
      </c>
      <c r="J39" s="62" t="n">
        <f aca="false">JUNEYTD!J39-MayYTD!J39</f>
        <v>0</v>
      </c>
      <c r="K39" s="62" t="n">
        <f aca="false">JUNEYTD!K39-MayYTD!K39</f>
        <v>0</v>
      </c>
      <c r="L39" s="62" t="n">
        <f aca="false">JUNEYTD!L39-MayYTD!L39</f>
        <v>0</v>
      </c>
      <c r="M39" s="62" t="n">
        <f aca="false">JUNEYTD!M39-MayYTD!M39</f>
        <v>0</v>
      </c>
      <c r="N39" s="62" t="n">
        <f aca="false">M39+L39</f>
        <v>0</v>
      </c>
      <c r="O39" s="62" t="n">
        <f aca="false">JUNEYTD!O39-MayYTD!O39</f>
        <v>0</v>
      </c>
      <c r="P39" s="62" t="n">
        <f aca="false">JUNEYTD!Q39-MayYTD!P39</f>
        <v>0</v>
      </c>
      <c r="R39" s="62" t="n">
        <f aca="false">JUNEYTD!S39-MayYTD!R39</f>
        <v>0</v>
      </c>
    </row>
    <row r="40" customFormat="false" ht="12.75" hidden="false" customHeight="true" outlineLevel="4" collapsed="false">
      <c r="A40" s="57" t="s">
        <v>76</v>
      </c>
      <c r="B40" s="58" t="n">
        <f aca="false">D40+R40</f>
        <v>0</v>
      </c>
      <c r="C40" s="58"/>
      <c r="D40" s="62" t="n">
        <f aca="false">SUM(E40:P40)</f>
        <v>0</v>
      </c>
      <c r="E40" s="62" t="n">
        <f aca="false">JUNEYTD!E40-MayYTD!E40</f>
        <v>0</v>
      </c>
      <c r="F40" s="62" t="n">
        <f aca="false">JUNEYTD!F40-MayYTD!F40</f>
        <v>0</v>
      </c>
      <c r="G40" s="62" t="n">
        <f aca="false">JUNEYTD!G40-MayYTD!G40</f>
        <v>0</v>
      </c>
      <c r="H40" s="62" t="n">
        <f aca="false">JUNEYTD!H40-MayYTD!H40</f>
        <v>0</v>
      </c>
      <c r="I40" s="62" t="n">
        <f aca="false">JUNEYTD!I40-MayYTD!I40</f>
        <v>0</v>
      </c>
      <c r="J40" s="62" t="n">
        <f aca="false">JUNEYTD!J40-MayYTD!J40</f>
        <v>0</v>
      </c>
      <c r="K40" s="62" t="n">
        <f aca="false">JUNEYTD!K40-MayYTD!K40</f>
        <v>0</v>
      </c>
      <c r="L40" s="62" t="n">
        <f aca="false">JUNEYTD!L40-MayYTD!L40</f>
        <v>0</v>
      </c>
      <c r="M40" s="62" t="n">
        <f aca="false">JUNEYTD!M40-MayYTD!M40</f>
        <v>0</v>
      </c>
      <c r="N40" s="62" t="n">
        <f aca="false">M40+L40</f>
        <v>0</v>
      </c>
      <c r="O40" s="62" t="n">
        <f aca="false">JUNEYTD!O40-MayYTD!O40</f>
        <v>0</v>
      </c>
      <c r="P40" s="62" t="n">
        <f aca="false">JUNEYTD!Q40-MayYTD!P40</f>
        <v>0</v>
      </c>
      <c r="R40" s="62" t="n">
        <f aca="false">JUNEYTD!S40-MayYTD!R40</f>
        <v>0</v>
      </c>
    </row>
    <row r="41" customFormat="false" ht="12.75" hidden="false" customHeight="true" outlineLevel="4" collapsed="false">
      <c r="A41" s="57" t="s">
        <v>77</v>
      </c>
      <c r="B41" s="63" t="n">
        <f aca="false">D41+R41</f>
        <v>-11</v>
      </c>
      <c r="C41" s="58"/>
      <c r="D41" s="64" t="n">
        <f aca="false">SUM(E41:M41)+O41+P41</f>
        <v>-11</v>
      </c>
      <c r="E41" s="64" t="n">
        <f aca="false">JUNEYTD!E41-MayYTD!E41</f>
        <v>-11</v>
      </c>
      <c r="F41" s="64" t="n">
        <f aca="false">JUNEYTD!F41-MayYTD!F41</f>
        <v>0</v>
      </c>
      <c r="G41" s="64" t="n">
        <f aca="false">JUNEYTD!G41-MayYTD!G41</f>
        <v>0</v>
      </c>
      <c r="H41" s="64" t="n">
        <f aca="false">JUNEYTD!H41-MayYTD!H41</f>
        <v>0</v>
      </c>
      <c r="I41" s="64" t="n">
        <f aca="false">JUNEYTD!I41-MayYTD!I41</f>
        <v>0</v>
      </c>
      <c r="J41" s="64" t="n">
        <f aca="false">JUNEYTD!J41-MayYTD!J41</f>
        <v>0</v>
      </c>
      <c r="K41" s="64" t="n">
        <f aca="false">JUNEYTD!K41-MayYTD!K41</f>
        <v>0</v>
      </c>
      <c r="L41" s="64" t="n">
        <f aca="false">JUNEYTD!L41-MayYTD!L41</f>
        <v>0</v>
      </c>
      <c r="M41" s="64" t="n">
        <f aca="false">JUNEYTD!M41-MayYTD!M41</f>
        <v>0</v>
      </c>
      <c r="N41" s="64" t="n">
        <f aca="false">M41+L41</f>
        <v>0</v>
      </c>
      <c r="O41" s="64" t="n">
        <f aca="false">JUNEYTD!O41-MayYTD!O41</f>
        <v>0</v>
      </c>
      <c r="P41" s="64" t="n">
        <f aca="false">JUNEYTD!Q41-MayYTD!P41</f>
        <v>0</v>
      </c>
      <c r="R41" s="50"/>
    </row>
    <row r="42" customFormat="false" ht="12.75" hidden="false" customHeight="true" outlineLevel="3" collapsed="false">
      <c r="A42" s="57" t="s">
        <v>78</v>
      </c>
      <c r="B42" s="70" t="n">
        <f aca="false">SUM(B36:B41)</f>
        <v>3305</v>
      </c>
      <c r="C42" s="71" t="n">
        <f aca="false">SUM(C36:C41)</f>
        <v>0</v>
      </c>
      <c r="D42" s="70" t="n">
        <f aca="false">SUM(D36:D41)</f>
        <v>3305</v>
      </c>
      <c r="E42" s="70" t="n">
        <f aca="false">SUM(E36:E41)</f>
        <v>5685</v>
      </c>
      <c r="F42" s="70" t="n">
        <f aca="false">SUM(F36:F41)</f>
        <v>-2380</v>
      </c>
      <c r="G42" s="70" t="n">
        <f aca="false">SUM(G36:G41)</f>
        <v>0</v>
      </c>
      <c r="H42" s="70" t="n">
        <f aca="false">SUM(H36:H41)</f>
        <v>0</v>
      </c>
      <c r="I42" s="70" t="n">
        <f aca="false">SUM(I36:I41)</f>
        <v>0</v>
      </c>
      <c r="J42" s="70" t="n">
        <f aca="false">SUM(J36:J41)</f>
        <v>0</v>
      </c>
      <c r="K42" s="70" t="n">
        <f aca="false">SUM(K36:K41)</f>
        <v>0</v>
      </c>
      <c r="L42" s="70" t="n">
        <f aca="false">SUM(L36:L41)</f>
        <v>0</v>
      </c>
      <c r="M42" s="70" t="n">
        <f aca="false">SUM(M36:M41)</f>
        <v>0</v>
      </c>
      <c r="N42" s="70" t="n">
        <f aca="false">SUM(N36:N41)</f>
        <v>0</v>
      </c>
      <c r="O42" s="70" t="n">
        <f aca="false">SUM(O36:O41)</f>
        <v>0</v>
      </c>
      <c r="P42" s="70" t="n">
        <f aca="false">SUM(P36:P41)</f>
        <v>0</v>
      </c>
      <c r="R42" s="66" t="n">
        <f aca="false">SUM(R36:R41)</f>
        <v>0</v>
      </c>
    </row>
    <row r="43" customFormat="false" ht="12.75" hidden="false" customHeight="true" outlineLevel="3" collapsed="false">
      <c r="B43" s="58"/>
      <c r="C43" s="58"/>
    </row>
    <row r="44" customFormat="false" ht="12.75" hidden="false" customHeight="true" outlineLevel="3" collapsed="false">
      <c r="A44" s="61" t="s">
        <v>79</v>
      </c>
      <c r="B44" s="58"/>
      <c r="C44" s="58"/>
    </row>
    <row r="45" customFormat="false" ht="12.75" hidden="false" customHeight="true" outlineLevel="4" collapsed="false">
      <c r="A45" s="57" t="s">
        <v>80</v>
      </c>
      <c r="B45" s="58" t="n">
        <f aca="false">D45+R45</f>
        <v>0</v>
      </c>
      <c r="C45" s="58"/>
      <c r="D45" s="62" t="n">
        <f aca="false">SUM(E45:P45)</f>
        <v>0</v>
      </c>
      <c r="E45" s="62" t="n">
        <f aca="false">JUNEYTD!E45-MayYTD!E45</f>
        <v>0</v>
      </c>
      <c r="F45" s="62" t="n">
        <f aca="false">JUNEYTD!F45-MayYTD!F45</f>
        <v>0</v>
      </c>
      <c r="G45" s="62" t="n">
        <f aca="false">JUNEYTD!G45-MayYTD!G45</f>
        <v>0</v>
      </c>
      <c r="H45" s="62" t="n">
        <f aca="false">JUNEYTD!H45-MayYTD!H45</f>
        <v>0</v>
      </c>
      <c r="I45" s="62" t="n">
        <f aca="false">JUNEYTD!I45-MayYTD!I45</f>
        <v>0</v>
      </c>
      <c r="J45" s="62" t="n">
        <f aca="false">JUNEYTD!J45-MayYTD!J45</f>
        <v>0</v>
      </c>
      <c r="K45" s="62" t="n">
        <f aca="false">JUNEYTD!K45-MayYTD!K45</f>
        <v>0</v>
      </c>
      <c r="L45" s="62" t="n">
        <f aca="false">JUNEYTD!L45-MayYTD!L45</f>
        <v>0</v>
      </c>
      <c r="M45" s="62" t="n">
        <f aca="false">JUNEYTD!M45-MayYTD!M45</f>
        <v>0</v>
      </c>
      <c r="N45" s="62"/>
      <c r="O45" s="62" t="n">
        <f aca="false">JUNEYTD!O45-MayYTD!O45</f>
        <v>0</v>
      </c>
      <c r="P45" s="62" t="n">
        <f aca="false">JUNEYTD!Q45-MayYTD!P45</f>
        <v>0</v>
      </c>
    </row>
    <row r="46" customFormat="false" ht="12.75" hidden="false" customHeight="true" outlineLevel="4" collapsed="false">
      <c r="A46" s="57" t="s">
        <v>81</v>
      </c>
      <c r="B46" s="58" t="n">
        <f aca="false">D46+R46</f>
        <v>0</v>
      </c>
      <c r="C46" s="58"/>
      <c r="D46" s="62" t="n">
        <f aca="false">SUM(E46:M46)+O46+P46</f>
        <v>0</v>
      </c>
      <c r="E46" s="62" t="n">
        <f aca="false">JUNEYTD!E46-MayYTD!E46</f>
        <v>0</v>
      </c>
      <c r="F46" s="62" t="n">
        <f aca="false">JUNEYTD!F46-MayYTD!F46</f>
        <v>0</v>
      </c>
      <c r="G46" s="62" t="n">
        <f aca="false">JUNEYTD!G46-MayYTD!G46</f>
        <v>0</v>
      </c>
      <c r="H46" s="62" t="n">
        <f aca="false">JUNEYTD!H46-MayYTD!H46</f>
        <v>0</v>
      </c>
      <c r="I46" s="62" t="n">
        <f aca="false">JUNEYTD!I46-MayYTD!I46</f>
        <v>0</v>
      </c>
      <c r="J46" s="62" t="n">
        <f aca="false">JUNEYTD!J46-MayYTD!J46</f>
        <v>0</v>
      </c>
      <c r="K46" s="62" t="n">
        <f aca="false">JUNEYTD!K46-MayYTD!K46</f>
        <v>0</v>
      </c>
      <c r="L46" s="62" t="n">
        <f aca="false">JUNEYTD!L46-MayYTD!L46</f>
        <v>0</v>
      </c>
      <c r="M46" s="62" t="n">
        <f aca="false">JUNEYTD!M46-MayYTD!M46</f>
        <v>0</v>
      </c>
      <c r="N46" s="62"/>
      <c r="O46" s="62" t="n">
        <f aca="false">JUNEYTD!O46-MayYTD!O46</f>
        <v>0</v>
      </c>
      <c r="P46" s="62" t="n">
        <f aca="false">JUNEYTD!Q46-MayYTD!P46</f>
        <v>0</v>
      </c>
    </row>
    <row r="47" customFormat="false" ht="12.75" hidden="false" customHeight="true" outlineLevel="4" collapsed="false">
      <c r="A47" s="57" t="s">
        <v>83</v>
      </c>
      <c r="B47" s="58" t="n">
        <f aca="false">D47+R47</f>
        <v>0</v>
      </c>
      <c r="C47" s="58"/>
      <c r="D47" s="62" t="n">
        <f aca="false">SUM(E47:P47)</f>
        <v>0</v>
      </c>
      <c r="E47" s="62" t="n">
        <f aca="false">JUNEYTD!E47-MayYTD!E47</f>
        <v>0</v>
      </c>
      <c r="F47" s="62" t="n">
        <f aca="false">JUNEYTD!F47-MayYTD!F47</f>
        <v>0</v>
      </c>
      <c r="G47" s="62" t="n">
        <f aca="false">JUNEYTD!G47-MayYTD!G47</f>
        <v>0</v>
      </c>
      <c r="H47" s="62" t="n">
        <f aca="false">JUNEYTD!H47-MayYTD!H47</f>
        <v>0</v>
      </c>
      <c r="I47" s="62" t="n">
        <f aca="false">JUNEYTD!I47-MayYTD!I47</f>
        <v>0</v>
      </c>
      <c r="J47" s="62" t="n">
        <f aca="false">JUNEYTD!J47-MayYTD!J47</f>
        <v>0</v>
      </c>
      <c r="K47" s="62" t="n">
        <f aca="false">JUNEYTD!K47-MayYTD!K47</f>
        <v>0</v>
      </c>
      <c r="L47" s="62" t="n">
        <f aca="false">JUNEYTD!L47-MayYTD!L47</f>
        <v>0</v>
      </c>
      <c r="M47" s="62" t="n">
        <f aca="false">JUNEYTD!M47-MayYTD!M47</f>
        <v>0</v>
      </c>
      <c r="N47" s="62"/>
      <c r="O47" s="62" t="n">
        <f aca="false">JUNEYTD!O47-MayYTD!O47</f>
        <v>0</v>
      </c>
      <c r="P47" s="62" t="n">
        <f aca="false">JUNEYTD!Q47-MayYTD!P47</f>
        <v>0</v>
      </c>
    </row>
    <row r="48" customFormat="false" ht="12.75" hidden="false" customHeight="true" outlineLevel="4" collapsed="false">
      <c r="A48" s="57" t="s">
        <v>84</v>
      </c>
      <c r="B48" s="58" t="n">
        <f aca="false">D48+R48</f>
        <v>0</v>
      </c>
      <c r="C48" s="58"/>
      <c r="D48" s="62" t="n">
        <f aca="false">SUM(E48:M48)+O48+P48</f>
        <v>0</v>
      </c>
      <c r="E48" s="62" t="n">
        <f aca="false">JUNEYTD!E48-MayYTD!E48</f>
        <v>0</v>
      </c>
      <c r="F48" s="62" t="n">
        <f aca="false">JUNEYTD!F48-MayYTD!F48</f>
        <v>0</v>
      </c>
      <c r="G48" s="62" t="n">
        <f aca="false">JUNEYTD!G48-MayYTD!G48</f>
        <v>0</v>
      </c>
      <c r="H48" s="62" t="n">
        <f aca="false">JUNEYTD!H48-MayYTD!H48</f>
        <v>0</v>
      </c>
      <c r="I48" s="62" t="n">
        <f aca="false">JUNEYTD!I48-MayYTD!I48</f>
        <v>0</v>
      </c>
      <c r="J48" s="62" t="n">
        <f aca="false">JUNEYTD!J48-MayYTD!J48</f>
        <v>0</v>
      </c>
      <c r="K48" s="62" t="n">
        <f aca="false">JUNEYTD!K48-MayYTD!K48</f>
        <v>0</v>
      </c>
      <c r="L48" s="62" t="n">
        <f aca="false">JUNEYTD!L48-MayYTD!L48</f>
        <v>0</v>
      </c>
      <c r="M48" s="62" t="n">
        <f aca="false">JUNEYTD!M48-MayYTD!M48</f>
        <v>0</v>
      </c>
      <c r="N48" s="62"/>
      <c r="O48" s="62" t="n">
        <f aca="false">JUNEYTD!O48-MayYTD!O48</f>
        <v>0</v>
      </c>
      <c r="P48" s="62" t="n">
        <f aca="false">JUNEYTD!Q48-MayYTD!P48</f>
        <v>0</v>
      </c>
    </row>
    <row r="49" customFormat="false" ht="12.75" hidden="false" customHeight="true" outlineLevel="4" collapsed="false">
      <c r="A49" s="57" t="s">
        <v>107</v>
      </c>
      <c r="B49" s="58" t="n">
        <f aca="false">D49+R49</f>
        <v>0</v>
      </c>
      <c r="C49" s="58"/>
      <c r="D49" s="62" t="n">
        <f aca="false">SUM(E49:P49)</f>
        <v>0</v>
      </c>
      <c r="E49" s="62" t="n">
        <f aca="false">JUNEYTD!E49-MayYTD!E49</f>
        <v>0</v>
      </c>
      <c r="F49" s="62" t="n">
        <f aca="false">JUNEYTD!F49-MayYTD!F49</f>
        <v>0</v>
      </c>
      <c r="G49" s="62" t="n">
        <f aca="false">JUNEYTD!G49-MayYTD!G49</f>
        <v>0</v>
      </c>
      <c r="H49" s="62" t="n">
        <f aca="false">JUNEYTD!H49-MayYTD!H49</f>
        <v>0</v>
      </c>
      <c r="I49" s="62" t="n">
        <f aca="false">JUNEYTD!I49-MayYTD!I49</f>
        <v>0</v>
      </c>
      <c r="J49" s="62" t="n">
        <f aca="false">JUNEYTD!J49-MayYTD!J49</f>
        <v>0</v>
      </c>
      <c r="K49" s="62" t="n">
        <f aca="false">JUNEYTD!K49-MayYTD!K49</f>
        <v>0</v>
      </c>
      <c r="L49" s="62" t="n">
        <f aca="false">JUNEYTD!L49-MayYTD!L49</f>
        <v>0</v>
      </c>
      <c r="M49" s="62" t="n">
        <f aca="false">JUNEYTD!M49-MayYTD!M49</f>
        <v>0</v>
      </c>
      <c r="N49" s="75"/>
      <c r="O49" s="62" t="n">
        <f aca="false">JUNEYTD!O49-MayYTD!O49</f>
        <v>0</v>
      </c>
      <c r="P49" s="62" t="n">
        <f aca="false">JUNEYTD!Q49-MayYTD!P49</f>
        <v>0</v>
      </c>
      <c r="R49" s="50"/>
    </row>
    <row r="50" customFormat="false" ht="12.75" hidden="false" customHeight="true" outlineLevel="3" collapsed="false">
      <c r="A50" s="57" t="s">
        <v>86</v>
      </c>
      <c r="B50" s="72" t="n">
        <f aca="false">SUM(B45:B49)</f>
        <v>0</v>
      </c>
      <c r="C50" s="58"/>
      <c r="D50" s="72" t="n">
        <f aca="false">SUM(D45:D49)</f>
        <v>0</v>
      </c>
      <c r="E50" s="72" t="n">
        <f aca="false">SUM(E45:E49)</f>
        <v>0</v>
      </c>
      <c r="F50" s="72" t="n">
        <f aca="false">SUM(F45:F49)</f>
        <v>0</v>
      </c>
      <c r="G50" s="72" t="n">
        <f aca="false">SUM(G45:G49)</f>
        <v>0</v>
      </c>
      <c r="H50" s="72" t="n">
        <f aca="false">SUM(H45:H49)</f>
        <v>0</v>
      </c>
      <c r="I50" s="72" t="n">
        <f aca="false">SUM(I45:I49)</f>
        <v>0</v>
      </c>
      <c r="J50" s="72" t="n">
        <f aca="false">SUM(J45:J49)</f>
        <v>0</v>
      </c>
      <c r="K50" s="72" t="n">
        <f aca="false">SUM(K45:K49)</f>
        <v>0</v>
      </c>
      <c r="L50" s="72" t="n">
        <f aca="false">SUM(L45:L49)</f>
        <v>0</v>
      </c>
      <c r="M50" s="72" t="n">
        <f aca="false">SUM(M45:M49)</f>
        <v>0</v>
      </c>
      <c r="N50" s="72" t="n">
        <f aca="false">SUM(N45:N49)</f>
        <v>0</v>
      </c>
      <c r="O50" s="72" t="n">
        <f aca="false">SUM(O45:O49)</f>
        <v>0</v>
      </c>
      <c r="P50" s="72" t="n">
        <f aca="false">SUM(P45:P49)</f>
        <v>0</v>
      </c>
      <c r="R50" s="72" t="n">
        <f aca="false">SUM(R45:R49)</f>
        <v>0</v>
      </c>
    </row>
    <row r="51" customFormat="false" ht="12.75" hidden="false" customHeight="true" outlineLevel="3" collapsed="false">
      <c r="A51" s="57"/>
      <c r="B51" s="71"/>
      <c r="C51" s="58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R51" s="71"/>
    </row>
    <row r="52" customFormat="false" ht="12.75" hidden="false" customHeight="true" outlineLevel="2" collapsed="false">
      <c r="A52" s="57" t="s">
        <v>87</v>
      </c>
      <c r="B52" s="71" t="n">
        <f aca="false">B33+B42+B50</f>
        <v>20586.179</v>
      </c>
      <c r="C52" s="58"/>
      <c r="D52" s="71" t="n">
        <f aca="false">D33+D42+D50</f>
        <v>19595.838</v>
      </c>
      <c r="E52" s="71" t="n">
        <f aca="false">E33+E42+E50</f>
        <v>-28602.295</v>
      </c>
      <c r="F52" s="71" t="n">
        <f aca="false">F33+F42+F50</f>
        <v>2372.02699999998</v>
      </c>
      <c r="G52" s="71" t="n">
        <f aca="false">G33+G42+G50</f>
        <v>0</v>
      </c>
      <c r="H52" s="71" t="n">
        <f aca="false">H33+H42+H50</f>
        <v>-1059.018</v>
      </c>
      <c r="I52" s="71" t="n">
        <f aca="false">I33+I42+I50</f>
        <v>-3.574</v>
      </c>
      <c r="J52" s="71" t="n">
        <f aca="false">J33+J42+J50</f>
        <v>2632.576</v>
      </c>
      <c r="K52" s="71" t="n">
        <f aca="false">K33+K42+K50</f>
        <v>-58.6989999999996</v>
      </c>
      <c r="L52" s="71" t="n">
        <f aca="false">L33+L42+L50</f>
        <v>778.786</v>
      </c>
      <c r="M52" s="71" t="n">
        <f aca="false">M33+M42+M50</f>
        <v>0</v>
      </c>
      <c r="N52" s="71" t="n">
        <f aca="false">M52+L52</f>
        <v>778.786</v>
      </c>
      <c r="O52" s="71" t="n">
        <f aca="false">O33+O42+O50</f>
        <v>43730.456</v>
      </c>
      <c r="P52" s="71" t="n">
        <f aca="false">P33+P42+P50</f>
        <v>-194.421</v>
      </c>
      <c r="R52" s="71" t="n">
        <f aca="false">R33+R42+R50</f>
        <v>990.341000000001</v>
      </c>
    </row>
    <row r="53" customFormat="false" ht="12.75" hidden="false" customHeight="true" outlineLevel="2" collapsed="false">
      <c r="A53" s="57"/>
      <c r="B53" s="71"/>
      <c r="C53" s="58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R53" s="71"/>
    </row>
    <row r="54" customFormat="false" ht="12.75" hidden="false" customHeight="true" outlineLevel="2" collapsed="false">
      <c r="A54" s="57" t="s">
        <v>88</v>
      </c>
      <c r="B54" s="63" t="n">
        <f aca="false">D54+R54</f>
        <v>4</v>
      </c>
      <c r="C54" s="58"/>
      <c r="D54" s="64" t="n">
        <f aca="false">SUM(E54:M54)+O54+P54</f>
        <v>-5</v>
      </c>
      <c r="E54" s="77" t="n">
        <v>0</v>
      </c>
      <c r="F54" s="77" t="n">
        <v>0</v>
      </c>
      <c r="G54" s="77" t="n">
        <v>0</v>
      </c>
      <c r="H54" s="77" t="n">
        <v>0</v>
      </c>
      <c r="I54" s="77" t="n">
        <v>0</v>
      </c>
      <c r="J54" s="77" t="n">
        <v>0</v>
      </c>
      <c r="K54" s="77" t="n">
        <v>0</v>
      </c>
      <c r="L54" s="77" t="n">
        <v>0</v>
      </c>
      <c r="M54" s="77" t="n">
        <v>0</v>
      </c>
      <c r="N54" s="77" t="n">
        <v>0</v>
      </c>
      <c r="O54" s="50" t="n">
        <v>0</v>
      </c>
      <c r="P54" s="77" t="n">
        <f aca="false">JUNEYTD!Q54-MayYTD!P54</f>
        <v>-5</v>
      </c>
      <c r="R54" s="64" t="n">
        <f aca="false">+'[11]JUNE_MO '!$H$50</f>
        <v>9</v>
      </c>
    </row>
    <row r="55" customFormat="false" ht="12.75" hidden="false" customHeight="true" outlineLevel="2" collapsed="false">
      <c r="A55" s="57"/>
      <c r="B55" s="58"/>
      <c r="C55" s="58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R55" s="42"/>
    </row>
    <row r="56" customFormat="false" ht="12.75" hidden="false" customHeight="true" outlineLevel="1" collapsed="false">
      <c r="A56" s="57" t="s">
        <v>89</v>
      </c>
      <c r="B56" s="74" t="n">
        <f aca="false">B54+B52</f>
        <v>20590.179</v>
      </c>
      <c r="C56" s="58"/>
      <c r="D56" s="74" t="n">
        <f aca="false">+D52-D54</f>
        <v>19600.838</v>
      </c>
      <c r="E56" s="74" t="n">
        <f aca="false">E54+E52</f>
        <v>-28602.295</v>
      </c>
      <c r="F56" s="74" t="n">
        <f aca="false">F54+F52</f>
        <v>2372.02699999998</v>
      </c>
      <c r="G56" s="74" t="n">
        <f aca="false">G54+G52</f>
        <v>0</v>
      </c>
      <c r="H56" s="74" t="n">
        <f aca="false">H54+H52</f>
        <v>-1059.018</v>
      </c>
      <c r="I56" s="74" t="n">
        <f aca="false">I54+I52</f>
        <v>-3.574</v>
      </c>
      <c r="J56" s="74" t="n">
        <f aca="false">J54+J52</f>
        <v>2632.576</v>
      </c>
      <c r="K56" s="74" t="n">
        <f aca="false">K54+K52</f>
        <v>-58.6989999999996</v>
      </c>
      <c r="L56" s="74" t="n">
        <f aca="false">L54+L52</f>
        <v>778.786</v>
      </c>
      <c r="M56" s="74" t="n">
        <f aca="false">M54+M52</f>
        <v>0</v>
      </c>
      <c r="N56" s="74" t="n">
        <f aca="false">N54+N52</f>
        <v>778.786</v>
      </c>
      <c r="O56" s="74" t="n">
        <f aca="false">O54+O52</f>
        <v>43730.456</v>
      </c>
      <c r="P56" s="74" t="n">
        <f aca="false">+P52-P54</f>
        <v>-189.421</v>
      </c>
      <c r="R56" s="74" t="n">
        <f aca="false">+R52-R54</f>
        <v>981.341000000001</v>
      </c>
    </row>
    <row r="57" customFormat="false" ht="12.75" hidden="false" customHeight="true" outlineLevel="1" collapsed="false">
      <c r="B57" s="42"/>
      <c r="C57" s="42"/>
    </row>
    <row r="58" customFormat="false" ht="12.75" hidden="false" customHeight="true" outlineLevel="0" collapsed="false">
      <c r="A58" s="40" t="s">
        <v>90</v>
      </c>
      <c r="B58" s="64" t="n">
        <f aca="false">D58+R58</f>
        <v>-6</v>
      </c>
      <c r="C58" s="42"/>
      <c r="D58" s="64" t="n">
        <f aca="false">SUM(E58:P58)</f>
        <v>-6</v>
      </c>
      <c r="E58" s="64" t="n">
        <f aca="false">JUNEYTD!E58-MayYTD!E58</f>
        <v>-6</v>
      </c>
      <c r="F58" s="64" t="n">
        <f aca="false">JUNEYTD!F58-MayYTD!F58</f>
        <v>0</v>
      </c>
      <c r="G58" s="64" t="n">
        <f aca="false">JUNEYTD!G58-MayYTD!G58</f>
        <v>0</v>
      </c>
      <c r="H58" s="64" t="n">
        <f aca="false">JUNEYTD!H58-MayYTD!H58</f>
        <v>0</v>
      </c>
      <c r="I58" s="64" t="n">
        <f aca="false">JUNEYTD!I58-MayYTD!I58</f>
        <v>-28</v>
      </c>
      <c r="J58" s="64" t="n">
        <f aca="false">JUNEYTD!J58-MayYTD!J58</f>
        <v>-766</v>
      </c>
      <c r="K58" s="64" t="n">
        <f aca="false">JUNEYTD!K58-MayYTD!K58</f>
        <v>794</v>
      </c>
      <c r="L58" s="64" t="n">
        <f aca="false">JUNEYTD!L58-MayYTD!L58</f>
        <v>0</v>
      </c>
      <c r="M58" s="64" t="n">
        <f aca="false">JUNEYTD!M58-MayYTD!M58</f>
        <v>0</v>
      </c>
      <c r="N58" s="77" t="n">
        <v>0</v>
      </c>
      <c r="O58" s="64" t="n">
        <f aca="false">JUNEYTD!O58-MayYTD!O58</f>
        <v>0</v>
      </c>
      <c r="P58" s="64" t="n">
        <f aca="false">JUNEYTD!Q58-MayYTD!P58</f>
        <v>0</v>
      </c>
      <c r="R58" s="50" t="n">
        <v>0</v>
      </c>
    </row>
    <row r="59" customFormat="false" ht="12.75" hidden="false" customHeight="true" outlineLevel="0" collapsed="false">
      <c r="B59" s="42"/>
      <c r="C59" s="42"/>
    </row>
    <row r="60" customFormat="false" ht="12.75" hidden="false" customHeight="true" outlineLevel="0" collapsed="false">
      <c r="A60" s="40" t="s">
        <v>91</v>
      </c>
      <c r="B60" s="74" t="n">
        <f aca="false">B56+B58</f>
        <v>20584.179</v>
      </c>
      <c r="C60" s="42"/>
      <c r="D60" s="74" t="n">
        <f aca="false">D56+D58</f>
        <v>19594.838</v>
      </c>
      <c r="E60" s="74" t="n">
        <f aca="false">E56+E58</f>
        <v>-28608.295</v>
      </c>
      <c r="F60" s="74" t="n">
        <f aca="false">F56+F58</f>
        <v>2372.02699999998</v>
      </c>
      <c r="G60" s="74" t="n">
        <f aca="false">G56+G58</f>
        <v>0</v>
      </c>
      <c r="H60" s="74" t="n">
        <f aca="false">H56+H58</f>
        <v>-1059.018</v>
      </c>
      <c r="I60" s="74" t="n">
        <f aca="false">I56+I58</f>
        <v>-31.574</v>
      </c>
      <c r="J60" s="74" t="n">
        <f aca="false">J56+J58</f>
        <v>1866.576</v>
      </c>
      <c r="K60" s="74" t="n">
        <f aca="false">K56+K58</f>
        <v>735.301</v>
      </c>
      <c r="L60" s="74" t="n">
        <f aca="false">L56+L58</f>
        <v>778.786</v>
      </c>
      <c r="M60" s="74" t="n">
        <f aca="false">M56+M58</f>
        <v>0</v>
      </c>
      <c r="N60" s="74" t="n">
        <f aca="false">M60+L60</f>
        <v>778.786</v>
      </c>
      <c r="O60" s="74" t="n">
        <f aca="false">O56+O58</f>
        <v>43730.456</v>
      </c>
      <c r="P60" s="74" t="n">
        <f aca="false">P56+P58</f>
        <v>-189.421</v>
      </c>
      <c r="R60" s="74" t="n">
        <f aca="false">R56+R58</f>
        <v>981.341000000001</v>
      </c>
    </row>
    <row r="61" customFormat="false" ht="12.75" hidden="false" customHeight="true" outlineLevel="0" collapsed="false">
      <c r="B61" s="42"/>
      <c r="C61" s="42"/>
    </row>
    <row r="62" customFormat="false" ht="12.75" hidden="false" customHeight="true" outlineLevel="0" collapsed="false">
      <c r="B62" s="42"/>
      <c r="C62" s="42"/>
    </row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540277777777778" bottom="0.49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1998-10-22T18:03:21Z</dcterms:created>
  <dc:creator>Johnson M. Leo</dc:creator>
  <dc:description/>
  <dc:language>en-US</dc:language>
  <cp:lastModifiedBy>trainbo</cp:lastModifiedBy>
  <cp:lastPrinted>2000-11-06T18:47:19Z</cp:lastPrinted>
  <cp:revision>0</cp:revision>
  <dc:subject/>
  <dc:title/>
</cp:coreProperties>
</file>