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1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13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_source_data" sheetId="1" state="visible" r:id="rId3"/>
    <sheet name="Forecast01" sheetId="2" state="visible" r:id="rId4"/>
    <sheet name="Lay" sheetId="3" state="visible" r:id="rId5"/>
    <sheet name="Fuel Calc" sheetId="4" state="visible" r:id="rId6"/>
    <sheet name="2000 2ce compare" sheetId="5" state="visible" r:id="rId7"/>
    <sheet name="Detail" sheetId="6" state="visible" r:id="rId8"/>
    <sheet name="IT Study" sheetId="7" state="visible" r:id="rId9"/>
    <sheet name="load factor study" sheetId="8" state="visible" r:id="rId10"/>
    <sheet name="Terminations" sheetId="9" state="visible" r:id="rId11"/>
    <sheet name="Resubscriptions" sheetId="10" state="visible" r:id="rId12"/>
    <sheet name="Stretch" sheetId="11" state="visible" r:id="rId13"/>
    <sheet name="Capital" sheetId="12" state="visible" r:id="rId14"/>
    <sheet name="Rolling Schedules" sheetId="13" state="visible" r:id="rId15"/>
  </sheets>
  <externalReferences>
    <externalReference r:id="rId16"/>
    <externalReference r:id="rId17"/>
  </externalReferences>
  <definedNames>
    <definedName function="false" hidden="false" localSheetId="5" name="_xlnm.Print_Area" vbProcedure="false">Detail!$A$9:$AE$634</definedName>
    <definedName function="false" hidden="false" localSheetId="5" name="_xlnm.Print_Titles" vbProcedure="false">Detail!$2:$7</definedName>
    <definedName function="false" hidden="false" localSheetId="1" name="_xlnm.Print_Area" vbProcedure="false">Forecast01!$A$1:$S$401</definedName>
    <definedName function="false" hidden="false" localSheetId="1" name="_xlnm.Print_Titles" vbProcedure="false">Forecast01!$1:$10</definedName>
    <definedName function="false" hidden="false" localSheetId="3" name="_xlnm.Print_Titles" vbProcedure="false">'Fuel Calc'!$1:$8</definedName>
    <definedName function="false" hidden="false" localSheetId="2" name="_xlnm.Print_Area" vbProcedure="false">Lay!$A$1:$T$19</definedName>
    <definedName function="false" hidden="false" localSheetId="7" name="_xlnm.Print_Area" vbProcedure="false">'load factor study'!$A$6:$N$218</definedName>
    <definedName function="false" hidden="false" localSheetId="7" name="_xlnm.Print_Titles" vbProcedure="false">'load factor study'!$1:$4</definedName>
    <definedName function="false" hidden="false" localSheetId="9" name="_xlnm.Print_Area" vbProcedure="false">Resubscriptions!$A$6:$AA$39</definedName>
    <definedName function="false" hidden="false" localSheetId="12" name="_xlnm.Print_Area" vbProcedure="false">'Rolling Schedules'!$A$6:$X$84</definedName>
    <definedName function="false" hidden="false" localSheetId="12" name="_xlnm.Print_Titles" vbProcedure="false">'Rolling Schedules'!$1:$6</definedName>
    <definedName function="false" hidden="false" localSheetId="10" name="_xlnm.Print_Area" vbProcedure="false">Stretch!$A$6:$X$58</definedName>
    <definedName function="false" hidden="false" localSheetId="8" name="_xlnm.Print_Area" vbProcedure="false">Terminations!$A$7:$X$40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Forecast01!$A$296:$U$309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Forecast01!$A$118:$U$184</definedName>
    <definedName function="false" hidden="false" name="RATES_ACT95" vbProcedure="false">#REF!</definedName>
    <definedName function="false" hidden="false" name="REVENUE_PLAN97_A" vbProcedure="false">Forecast01!$A$185:$U$295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Forecast01!$A$1:$N$382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Forecast01!$A$3:$S$295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Forecast01!$A$3:$U$115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included gallup of 2.8, rev. mgmt. Of .4 , and .138 of gomez-puckett.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14</xdr:row>
                <xdr:rowOff>7</xdr:rowOff>
              </xdr:from>
              <xdr:to>
                <xdr:col>21</xdr:col>
                <xdr:colOff>8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6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Revenu of $9342 reseved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12</xdr:colOff>
                <xdr:row>191</xdr:row>
                <xdr:rowOff>12</xdr:rowOff>
              </xdr:from>
              <xdr:to>
                <xdr:col>5</xdr:col>
                <xdr:colOff>43</xdr:colOff>
                <xdr:row>198</xdr:row>
                <xdr:rowOff>13</xdr:rowOff>
              </xdr:to>
            </anchor>
          </commentPr>
        </mc:Choice>
        <mc:Fallback/>
      </mc:AlternateContent>
    </comment>
    <comment ref="F301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</xdr:colOff>
                <xdr:row>299</xdr:row>
                <xdr:rowOff>7</xdr:rowOff>
              </xdr:from>
              <xdr:to>
                <xdr:col>7</xdr:col>
                <xdr:colOff>45</xdr:colOff>
                <xdr:row>303</xdr:row>
                <xdr:rowOff>13</xdr:rowOff>
              </xdr:to>
            </anchor>
          </commentPr>
        </mc:Choice>
        <mc:Fallback/>
      </mc:AlternateContent>
    </comment>
    <comment ref="G196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Expecting reserve of $9342 tto be in revenue.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194</xdr:row>
                <xdr:rowOff>7</xdr:rowOff>
              </xdr:from>
              <xdr:to>
                <xdr:col>8</xdr:col>
                <xdr:colOff>61</xdr:colOff>
                <xdr:row>198</xdr:row>
                <xdr:rowOff>13</xdr:rowOff>
              </xdr:to>
            </anchor>
          </commentPr>
        </mc:Choice>
        <mc:Fallback/>
      </mc:AlternateContent>
    </comment>
    <comment ref="N73" authorId="0">
      <text>
        <r>
          <rPr>
            <b val="true"/>
            <sz val="8"/>
            <color rgb="FF000000"/>
            <rFont val="Tahoma"/>
            <family val="0"/>
          </rPr>
          <t xml:space="preserve">Jeanette Doll:
</t>
        </r>
        <r>
          <rPr>
            <sz val="8"/>
            <color rgb="FF000000"/>
            <rFont val="Tahoma"/>
            <family val="0"/>
          </rPr>
          <t xml:space="preserve">Average volume East for April thru Dec is 408 per day.(1st CE)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27</xdr:colOff>
                <xdr:row>71</xdr:row>
                <xdr:rowOff>7</xdr:rowOff>
              </xdr:from>
              <xdr:to>
                <xdr:col>13</xdr:col>
                <xdr:colOff>56</xdr:colOff>
                <xdr:row>75</xdr:row>
                <xdr:rowOff>12</xdr:rowOff>
              </xdr:to>
            </anchor>
          </commentPr>
        </mc:Choice>
        <mc:Fallback/>
      </mc:AlternateContent>
    </comment>
    <comment ref="P185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182</xdr:row>
                <xdr:rowOff>8</xdr:rowOff>
              </xdr:from>
              <xdr:to>
                <xdr:col>14</xdr:col>
                <xdr:colOff>31</xdr:colOff>
                <xdr:row>186</xdr:row>
                <xdr:rowOff>2</xdr:rowOff>
              </xdr:to>
            </anchor>
          </commentPr>
        </mc:Choice>
        <mc:Fallback/>
      </mc:AlternateContent>
    </comment>
    <comment ref="P34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338</xdr:row>
                <xdr:rowOff>11</xdr:rowOff>
              </xdr:from>
              <xdr:to>
                <xdr:col>14</xdr:col>
                <xdr:colOff>32</xdr:colOff>
                <xdr:row>342</xdr:row>
                <xdr:rowOff>16</xdr:rowOff>
              </xdr:to>
            </anchor>
          </commentPr>
        </mc:Choice>
        <mc:Fallback/>
      </mc:AlternateContent>
    </comment>
    <comment ref="P34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340</xdr:row>
                <xdr:rowOff>11</xdr:rowOff>
              </xdr:from>
              <xdr:to>
                <xdr:col>14</xdr:col>
                <xdr:colOff>32</xdr:colOff>
                <xdr:row>345</xdr:row>
                <xdr:rowOff>4</xdr:rowOff>
              </xdr:to>
            </anchor>
          </commentPr>
        </mc:Choice>
        <mc:Fallback/>
      </mc:AlternateContent>
    </comment>
    <comment ref="P34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341</xdr:row>
                <xdr:rowOff>11</xdr:rowOff>
              </xdr:from>
              <xdr:to>
                <xdr:col>14</xdr:col>
                <xdr:colOff>32</xdr:colOff>
                <xdr:row>345</xdr:row>
                <xdr:rowOff>13</xdr:rowOff>
              </xdr:to>
            </anchor>
          </commentPr>
        </mc:Choice>
        <mc:Fallback/>
      </mc:AlternateContent>
    </comment>
    <comment ref="P37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368</xdr:row>
                <xdr:rowOff>11</xdr:rowOff>
              </xdr:from>
              <xdr:to>
                <xdr:col>14</xdr:col>
                <xdr:colOff>32</xdr:colOff>
                <xdr:row>372</xdr:row>
                <xdr:rowOff>16</xdr:rowOff>
              </xdr:to>
            </anchor>
          </commentPr>
        </mc:Choice>
        <mc:Fallback/>
      </mc:AlternateContent>
    </comment>
    <comment ref="P372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369</xdr:row>
                <xdr:rowOff>11</xdr:rowOff>
              </xdr:from>
              <xdr:to>
                <xdr:col>14</xdr:col>
                <xdr:colOff>32</xdr:colOff>
                <xdr:row>373</xdr:row>
                <xdr:rowOff>16</xdr:rowOff>
              </xdr:to>
            </anchor>
          </commentPr>
        </mc:Choice>
        <mc:Fallback/>
      </mc:AlternateContent>
    </comment>
    <comment ref="P373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370</xdr:row>
                <xdr:rowOff>11</xdr:rowOff>
              </xdr:from>
              <xdr:to>
                <xdr:col>14</xdr:col>
                <xdr:colOff>32</xdr:colOff>
                <xdr:row>374</xdr:row>
                <xdr:rowOff>16</xdr:rowOff>
              </xdr:to>
            </anchor>
          </commentPr>
        </mc:Choice>
        <mc:Fallback/>
      </mc:AlternateContent>
    </comment>
    <comment ref="P374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371</xdr:row>
                <xdr:rowOff>11</xdr:rowOff>
              </xdr:from>
              <xdr:to>
                <xdr:col>14</xdr:col>
                <xdr:colOff>32</xdr:colOff>
                <xdr:row>375</xdr:row>
                <xdr:rowOff>16</xdr:rowOff>
              </xdr:to>
            </anchor>
          </commentPr>
        </mc:Choice>
        <mc:Fallback/>
      </mc:AlternateContent>
    </comment>
    <comment ref="P375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372</xdr:row>
                <xdr:rowOff>11</xdr:rowOff>
              </xdr:from>
              <xdr:to>
                <xdr:col>14</xdr:col>
                <xdr:colOff>32</xdr:colOff>
                <xdr:row>376</xdr:row>
                <xdr:rowOff>16</xdr:rowOff>
              </xdr:to>
            </anchor>
          </commentPr>
        </mc:Choice>
        <mc:Fallback/>
      </mc:AlternateContent>
    </comment>
    <comment ref="P37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373</xdr:row>
                <xdr:rowOff>11</xdr:rowOff>
              </xdr:from>
              <xdr:to>
                <xdr:col>14</xdr:col>
                <xdr:colOff>32</xdr:colOff>
                <xdr:row>377</xdr:row>
                <xdr:rowOff>16</xdr:rowOff>
              </xdr:to>
            </anchor>
          </commentPr>
        </mc:Choice>
        <mc:Fallback/>
      </mc:AlternateContent>
    </comment>
    <comment ref="P377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374</xdr:row>
                <xdr:rowOff>11</xdr:rowOff>
              </xdr:from>
              <xdr:to>
                <xdr:col>14</xdr:col>
                <xdr:colOff>32</xdr:colOff>
                <xdr:row>379</xdr:row>
                <xdr:rowOff>4</xdr:rowOff>
              </xdr:to>
            </anchor>
          </commentPr>
        </mc:Choice>
        <mc:Fallback/>
      </mc:AlternateContent>
    </comment>
    <comment ref="P378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375</xdr:row>
                <xdr:rowOff>11</xdr:rowOff>
              </xdr:from>
              <xdr:to>
                <xdr:col>14</xdr:col>
                <xdr:colOff>32</xdr:colOff>
                <xdr:row>379</xdr:row>
                <xdr:rowOff>13</xdr:rowOff>
              </xdr:to>
            </anchor>
          </commentPr>
        </mc:Choice>
        <mc:Fallback/>
      </mc:AlternateContent>
    </comment>
    <comment ref="P379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376</xdr:row>
                <xdr:rowOff>11</xdr:rowOff>
              </xdr:from>
              <xdr:to>
                <xdr:col>14</xdr:col>
                <xdr:colOff>32</xdr:colOff>
                <xdr:row>380</xdr:row>
                <xdr:rowOff>4</xdr:rowOff>
              </xdr:to>
            </anchor>
          </commentPr>
        </mc:Choice>
        <mc:Fallback/>
      </mc:AlternateContent>
    </comment>
    <comment ref="P38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379</xdr:row>
                <xdr:rowOff>1</xdr:rowOff>
              </xdr:from>
              <xdr:to>
                <xdr:col>14</xdr:col>
                <xdr:colOff>32</xdr:colOff>
                <xdr:row>382</xdr:row>
                <xdr:rowOff>16</xdr:rowOff>
              </xdr:to>
            </anchor>
          </commentPr>
        </mc:Choice>
        <mc:Fallback/>
      </mc:AlternateContent>
    </comment>
    <comment ref="Q38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379</xdr:row>
                <xdr:rowOff>1</xdr:rowOff>
              </xdr:from>
              <xdr:to>
                <xdr:col>14</xdr:col>
                <xdr:colOff>32</xdr:colOff>
                <xdr:row>382</xdr:row>
                <xdr:rowOff>16</xdr:rowOff>
              </xdr:to>
            </anchor>
          </commentPr>
        </mc:Choice>
        <mc:Fallback/>
      </mc:AlternateContent>
    </comment>
    <comment ref="T188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of GRI Demand Surcharge.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80</xdr:colOff>
                <xdr:row>186</xdr:row>
                <xdr:rowOff>9</xdr:rowOff>
              </xdr:from>
              <xdr:to>
                <xdr:col>15</xdr:col>
                <xdr:colOff>12</xdr:colOff>
                <xdr:row>190</xdr:row>
                <xdr:rowOff>15</xdr:rowOff>
              </xdr:to>
            </anchor>
          </commentPr>
        </mc:Choice>
        <mc:Fallback/>
      </mc:AlternateContent>
    </comment>
    <comment ref="T196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Incerease by Capital Projects and decrease by GRI Demand Surcharge and by switch between one-part rate demand and Commodity.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80</xdr:colOff>
                <xdr:row>194</xdr:row>
                <xdr:rowOff>9</xdr:rowOff>
              </xdr:from>
              <xdr:to>
                <xdr:col>15</xdr:col>
                <xdr:colOff>12</xdr:colOff>
                <xdr:row>198</xdr:row>
                <xdr:rowOff>15</xdr:rowOff>
              </xdr:to>
            </anchor>
          </commentPr>
        </mc:Choice>
        <mc:Fallback/>
      </mc:AlternateContent>
    </comment>
    <comment ref="T198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increase by raising commodity volumns and increase by one-part rate split between demand and commodity.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80</xdr:colOff>
                <xdr:row>196</xdr:row>
                <xdr:rowOff>9</xdr:rowOff>
              </xdr:from>
              <xdr:to>
                <xdr:col>15</xdr:col>
                <xdr:colOff>12</xdr:colOff>
                <xdr:row>200</xdr:row>
                <xdr:rowOff>15</xdr:rowOff>
              </xdr:to>
            </anchor>
          </commentPr>
        </mc:Choice>
        <mc:Fallback/>
      </mc:AlternateContent>
    </comment>
    <comment ref="T231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Discretionary Pool Capital Revenue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80</xdr:colOff>
                <xdr:row>229</xdr:row>
                <xdr:rowOff>9</xdr:rowOff>
              </xdr:from>
              <xdr:to>
                <xdr:col>15</xdr:col>
                <xdr:colOff>12</xdr:colOff>
                <xdr:row>233</xdr:row>
                <xdr:rowOff>15</xdr:rowOff>
              </xdr:to>
            </anchor>
          </commentPr>
        </mc:Choice>
        <mc:Fallback/>
      </mc:AlternateContent>
    </comment>
    <comment ref="T246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due to decrease in GRI Demand Surcharge.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80</xdr:colOff>
                <xdr:row>244</xdr:row>
                <xdr:rowOff>9</xdr:rowOff>
              </xdr:from>
              <xdr:to>
                <xdr:col>15</xdr:col>
                <xdr:colOff>12</xdr:colOff>
                <xdr:row>248</xdr:row>
                <xdr:rowOff>15</xdr:rowOff>
              </xdr:to>
            </anchor>
          </commentPr>
        </mc:Choice>
        <mc:Fallback/>
      </mc:AlternateContent>
    </comment>
    <comment ref="U231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Increase Discretionary Pool Capital Revenue.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229</xdr:row>
                <xdr:rowOff>9</xdr:rowOff>
              </xdr:from>
              <xdr:to>
                <xdr:col>16</xdr:col>
                <xdr:colOff>13</xdr:colOff>
                <xdr:row>233</xdr:row>
                <xdr:rowOff>15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7" authorId="0">
      <text>
        <r>
          <rPr>
            <b val="true"/>
            <sz val="8"/>
            <color rgb="FF000000"/>
            <rFont val="Tahoma"/>
            <family val="0"/>
          </rPr>
          <t xml:space="preserve">Jan Moore:
</t>
        </r>
        <r>
          <rPr>
            <sz val="8"/>
            <color rgb="FF000000"/>
            <rFont val="Tahoma"/>
            <family val="0"/>
          </rPr>
          <t xml:space="preserve">Needed to adjust for price difference between the Plan Index price per month and the agreed to UAF price of $4.50.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65</xdr:row>
                <xdr:rowOff>7</xdr:rowOff>
              </xdr:from>
              <xdr:to>
                <xdr:col>3</xdr:col>
                <xdr:colOff>61</xdr:colOff>
                <xdr:row>69</xdr:row>
                <xdr:rowOff>15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This contract is in conjunction with 26606.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10</xdr:row>
                <xdr:rowOff>7</xdr:rowOff>
              </xdr:from>
              <xdr:to>
                <xdr:col>6</xdr:col>
                <xdr:colOff>14</xdr:colOff>
                <xdr:row>14</xdr:row>
                <xdr:rowOff>13</xdr:rowOff>
              </xdr:to>
            </anchor>
          </commentPr>
        </mc:Choice>
        <mc:Fallback/>
      </mc:AlternateContent>
    </comment>
    <comment ref="E115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  <r>
          <rPr>
            <sz val="8"/>
            <color rgb="FF000000"/>
            <rFont val="Tahoma"/>
            <family val="0"/>
          </rPr>
          <t xml:space="preserve">CR #20746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113</xdr:row>
                <xdr:rowOff>7</xdr:rowOff>
              </xdr:from>
              <xdr:to>
                <xdr:col>6</xdr:col>
                <xdr:colOff>21</xdr:colOff>
                <xdr:row>117</xdr:row>
                <xdr:rowOff>13</xdr:rowOff>
              </xdr:to>
            </anchor>
          </commentPr>
        </mc:Choice>
        <mc:Fallback/>
      </mc:AlternateContent>
    </comment>
    <comment ref="E118" authorId="0">
      <text>
        <r>
          <rPr>
            <b val="true"/>
            <sz val="8"/>
            <color rgb="FF000000"/>
            <rFont val="Tahoma"/>
            <family val="0"/>
          </rPr>
          <t xml:space="preserve">Citizens has released this capacity.
</t>
        </r>
        <r>
          <rPr>
            <sz val="8"/>
            <color rgb="FF000000"/>
            <rFont val="Tahoma"/>
            <family val="0"/>
          </rPr>
          <t xml:space="preserve">CR #26520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116</xdr:row>
                <xdr:rowOff>7</xdr:rowOff>
              </xdr:from>
              <xdr:to>
                <xdr:col>6</xdr:col>
                <xdr:colOff>21</xdr:colOff>
                <xdr:row>120</xdr:row>
                <xdr:rowOff>13</xdr:rowOff>
              </xdr:to>
            </anchor>
          </commentPr>
        </mc:Choice>
        <mc:Fallback/>
      </mc:AlternateContent>
    </comment>
    <comment ref="E122" authorId="0">
      <text>
        <r>
          <rPr>
            <b val="true"/>
            <sz val="8"/>
            <color rgb="FF000000"/>
            <rFont val="Tahoma"/>
            <family val="0"/>
          </rPr>
          <t xml:space="preserve">PG&amp;E has released this capacity.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120</xdr:row>
                <xdr:rowOff>7</xdr:rowOff>
              </xdr:from>
              <xdr:to>
                <xdr:col>6</xdr:col>
                <xdr:colOff>21</xdr:colOff>
                <xdr:row>124</xdr:row>
                <xdr:rowOff>13</xdr:rowOff>
              </xdr:to>
            </anchor>
          </commentPr>
        </mc:Choice>
        <mc:Fallback/>
      </mc:AlternateContent>
    </comment>
    <comment ref="E128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  <r>
          <rPr>
            <sz val="8"/>
            <color rgb="FF000000"/>
            <rFont val="Tahoma"/>
            <family val="0"/>
          </rPr>
          <t xml:space="preserve">CR #20746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126</xdr:row>
                <xdr:rowOff>8</xdr:rowOff>
              </xdr:from>
              <xdr:to>
                <xdr:col>6</xdr:col>
                <xdr:colOff>21</xdr:colOff>
                <xdr:row>130</xdr:row>
                <xdr:rowOff>13</xdr:rowOff>
              </xdr:to>
            </anchor>
          </commentPr>
        </mc:Choice>
        <mc:Fallback/>
      </mc:AlternateContent>
    </comment>
    <comment ref="E132" authorId="0">
      <text>
        <r>
          <rPr>
            <b val="true"/>
            <sz val="8"/>
            <color rgb="FF000000"/>
            <rFont val="Tahoma"/>
            <family val="0"/>
          </rPr>
          <t xml:space="preserve">Citizens has released this capacity.
</t>
        </r>
        <r>
          <rPr>
            <sz val="8"/>
            <color rgb="FF000000"/>
            <rFont val="Tahoma"/>
            <family val="0"/>
          </rPr>
          <t xml:space="preserve">CR #26520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130</xdr:row>
                <xdr:rowOff>8</xdr:rowOff>
              </xdr:from>
              <xdr:to>
                <xdr:col>6</xdr:col>
                <xdr:colOff>21</xdr:colOff>
                <xdr:row>134</xdr:row>
                <xdr:rowOff>13</xdr:rowOff>
              </xdr:to>
            </anchor>
          </commentPr>
        </mc:Choice>
        <mc:Fallback/>
      </mc:AlternateContent>
    </comment>
    <comment ref="E136" authorId="0">
      <text>
        <r>
          <rPr>
            <b val="true"/>
            <sz val="8"/>
            <color rgb="FF000000"/>
            <rFont val="Tahoma"/>
            <family val="0"/>
          </rPr>
          <t xml:space="preserve">PG&amp;E has released this capacity.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134</xdr:row>
                <xdr:rowOff>8</xdr:rowOff>
              </xdr:from>
              <xdr:to>
                <xdr:col>6</xdr:col>
                <xdr:colOff>21</xdr:colOff>
                <xdr:row>138</xdr:row>
                <xdr:rowOff>13</xdr:rowOff>
              </xdr:to>
            </anchor>
          </commentPr>
        </mc:Choice>
        <mc:Fallback/>
      </mc:AlternateContent>
    </comment>
    <comment ref="E142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  <r>
          <rPr>
            <sz val="8"/>
            <color rgb="FF000000"/>
            <rFont val="Tahoma"/>
            <family val="0"/>
          </rPr>
          <t xml:space="preserve">CR #20746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140</xdr:row>
                <xdr:rowOff>8</xdr:rowOff>
              </xdr:from>
              <xdr:to>
                <xdr:col>6</xdr:col>
                <xdr:colOff>21</xdr:colOff>
                <xdr:row>144</xdr:row>
                <xdr:rowOff>13</xdr:rowOff>
              </xdr:to>
            </anchor>
          </commentPr>
        </mc:Choice>
        <mc:Fallback/>
      </mc:AlternateContent>
    </comment>
    <comment ref="E145" authorId="0">
      <text>
        <r>
          <rPr>
            <b val="true"/>
            <sz val="8"/>
            <color rgb="FF000000"/>
            <rFont val="Tahoma"/>
            <family val="0"/>
          </rPr>
          <t xml:space="preserve">Citizens has released this capacity.
</t>
        </r>
        <r>
          <rPr>
            <sz val="8"/>
            <color rgb="FF000000"/>
            <rFont val="Tahoma"/>
            <family val="0"/>
          </rPr>
          <t xml:space="preserve">CR #26520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143</xdr:row>
                <xdr:rowOff>8</xdr:rowOff>
              </xdr:from>
              <xdr:to>
                <xdr:col>6</xdr:col>
                <xdr:colOff>21</xdr:colOff>
                <xdr:row>147</xdr:row>
                <xdr:rowOff>13</xdr:rowOff>
              </xdr:to>
            </anchor>
          </commentPr>
        </mc:Choice>
        <mc:Fallback/>
      </mc:AlternateContent>
    </comment>
    <comment ref="E149" authorId="0">
      <text>
        <r>
          <rPr>
            <b val="true"/>
            <sz val="8"/>
            <color rgb="FF000000"/>
            <rFont val="Tahoma"/>
            <family val="0"/>
          </rPr>
          <t xml:space="preserve">PG&amp;E has released this capacity.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147</xdr:row>
                <xdr:rowOff>8</xdr:rowOff>
              </xdr:from>
              <xdr:to>
                <xdr:col>6</xdr:col>
                <xdr:colOff>21</xdr:colOff>
                <xdr:row>151</xdr:row>
                <xdr:rowOff>13</xdr:rowOff>
              </xdr:to>
            </anchor>
          </commentPr>
        </mc:Choice>
        <mc:Fallback/>
      </mc:AlternateContent>
    </comment>
    <comment ref="E155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  <r>
          <rPr>
            <sz val="8"/>
            <color rgb="FF000000"/>
            <rFont val="Tahoma"/>
            <family val="0"/>
          </rPr>
          <t xml:space="preserve">CR #20746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153</xdr:row>
                <xdr:rowOff>8</xdr:rowOff>
              </xdr:from>
              <xdr:to>
                <xdr:col>6</xdr:col>
                <xdr:colOff>21</xdr:colOff>
                <xdr:row>157</xdr:row>
                <xdr:rowOff>13</xdr:rowOff>
              </xdr:to>
            </anchor>
          </commentPr>
        </mc:Choice>
        <mc:Fallback/>
      </mc:AlternateContent>
    </comment>
    <comment ref="E159" authorId="0">
      <text>
        <r>
          <rPr>
            <b val="true"/>
            <sz val="8"/>
            <color rgb="FF000000"/>
            <rFont val="Tahoma"/>
            <family val="0"/>
          </rPr>
          <t xml:space="preserve">Citizens has released this capacity.
</t>
        </r>
        <r>
          <rPr>
            <sz val="8"/>
            <color rgb="FF000000"/>
            <rFont val="Tahoma"/>
            <family val="0"/>
          </rPr>
          <t xml:space="preserve">CR #26520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157</xdr:row>
                <xdr:rowOff>8</xdr:rowOff>
              </xdr:from>
              <xdr:to>
                <xdr:col>6</xdr:col>
                <xdr:colOff>21</xdr:colOff>
                <xdr:row>161</xdr:row>
                <xdr:rowOff>13</xdr:rowOff>
              </xdr:to>
            </anchor>
          </commentPr>
        </mc:Choice>
        <mc:Fallback/>
      </mc:AlternateContent>
    </comment>
    <comment ref="E163" authorId="0">
      <text>
        <r>
          <rPr>
            <b val="true"/>
            <sz val="8"/>
            <color rgb="FF000000"/>
            <rFont val="Tahoma"/>
            <family val="0"/>
          </rPr>
          <t xml:space="preserve">PG&amp;E has released this capacity.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161</xdr:row>
                <xdr:rowOff>8</xdr:rowOff>
              </xdr:from>
              <xdr:to>
                <xdr:col>6</xdr:col>
                <xdr:colOff>21</xdr:colOff>
                <xdr:row>165</xdr:row>
                <xdr:rowOff>13</xdr:rowOff>
              </xdr:to>
            </anchor>
          </commentPr>
        </mc:Choice>
        <mc:Fallback/>
      </mc:AlternateContent>
    </comment>
    <comment ref="E279" authorId="0">
      <text>
        <r>
          <rPr>
            <b val="true"/>
            <sz val="8"/>
            <color rgb="FF000000"/>
            <rFont val="Tahoma"/>
            <family val="0"/>
          </rPr>
          <t xml:space="preserve">CR 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277</xdr:row>
                <xdr:rowOff>8</xdr:rowOff>
              </xdr:from>
              <xdr:to>
                <xdr:col>6</xdr:col>
                <xdr:colOff>21</xdr:colOff>
                <xdr:row>281</xdr:row>
                <xdr:rowOff>11</xdr:rowOff>
              </xdr:to>
            </anchor>
          </commentPr>
        </mc:Choice>
        <mc:Fallback/>
      </mc:AlternateContent>
    </comment>
    <comment ref="E292" authorId="0">
      <text>
        <r>
          <rPr>
            <b val="true"/>
            <sz val="8"/>
            <color rgb="FF000000"/>
            <rFont val="Tahoma"/>
            <family val="0"/>
          </rPr>
          <t xml:space="preserve">CR 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290</xdr:row>
                <xdr:rowOff>8</xdr:rowOff>
              </xdr:from>
              <xdr:to>
                <xdr:col>6</xdr:col>
                <xdr:colOff>21</xdr:colOff>
                <xdr:row>294</xdr:row>
                <xdr:rowOff>11</xdr:rowOff>
              </xdr:to>
            </anchor>
          </commentPr>
        </mc:Choice>
        <mc:Fallback/>
      </mc:AlternateContent>
    </comment>
    <comment ref="E304" authorId="0">
      <text>
        <r>
          <rPr>
            <b val="true"/>
            <sz val="8"/>
            <color rgb="FF000000"/>
            <rFont val="Tahoma"/>
            <family val="0"/>
          </rPr>
          <t xml:space="preserve">CR 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302</xdr:row>
                <xdr:rowOff>8</xdr:rowOff>
              </xdr:from>
              <xdr:to>
                <xdr:col>6</xdr:col>
                <xdr:colOff>21</xdr:colOff>
                <xdr:row>306</xdr:row>
                <xdr:rowOff>11</xdr:rowOff>
              </xdr:to>
            </anchor>
          </commentPr>
        </mc:Choice>
        <mc:Fallback/>
      </mc:AlternateContent>
    </comment>
    <comment ref="E317" authorId="0">
      <text>
        <r>
          <rPr>
            <b val="true"/>
            <sz val="8"/>
            <color rgb="FF000000"/>
            <rFont val="Tahoma"/>
            <family val="0"/>
          </rPr>
          <t xml:space="preserve">CR #26519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315</xdr:row>
                <xdr:rowOff>8</xdr:rowOff>
              </xdr:from>
              <xdr:to>
                <xdr:col>6</xdr:col>
                <xdr:colOff>21</xdr:colOff>
                <xdr:row>319</xdr:row>
                <xdr:rowOff>11</xdr:rowOff>
              </xdr:to>
            </anchor>
          </commentPr>
        </mc:Choice>
        <mc:Fallback/>
      </mc:AlternateContent>
    </comment>
    <comment ref="E386" authorId="0">
      <text>
        <r>
          <rPr>
            <b val="true"/>
            <sz val="8"/>
            <color rgb="FF000000"/>
            <rFont val="Tahoma"/>
            <family val="0"/>
          </rPr>
          <t xml:space="preserve">Vastar did not resubscribe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384</xdr:row>
                <xdr:rowOff>8</xdr:rowOff>
              </xdr:from>
              <xdr:to>
                <xdr:col>6</xdr:col>
                <xdr:colOff>21</xdr:colOff>
                <xdr:row>388</xdr:row>
                <xdr:rowOff>11</xdr:rowOff>
              </xdr:to>
            </anchor>
          </commentPr>
        </mc:Choice>
        <mc:Fallback/>
      </mc:AlternateContent>
    </comment>
    <comment ref="E391" authorId="0">
      <text>
        <r>
          <rPr>
            <b val="true"/>
            <sz val="8"/>
            <color rgb="FF000000"/>
            <rFont val="Tahoma"/>
            <family val="0"/>
          </rPr>
          <t xml:space="preserve">CR #27344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389</xdr:row>
                <xdr:rowOff>8</xdr:rowOff>
              </xdr:from>
              <xdr:to>
                <xdr:col>6</xdr:col>
                <xdr:colOff>21</xdr:colOff>
                <xdr:row>393</xdr:row>
                <xdr:rowOff>11</xdr:rowOff>
              </xdr:to>
            </anchor>
          </commentPr>
        </mc:Choice>
        <mc:Fallback/>
      </mc:AlternateContent>
    </comment>
    <comment ref="E404" authorId="0">
      <text>
        <r>
          <rPr>
            <b val="true"/>
            <sz val="8"/>
            <color rgb="FF000000"/>
            <rFont val="Tahoma"/>
            <family val="0"/>
          </rPr>
          <t xml:space="preserve">CR #27344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402</xdr:row>
                <xdr:rowOff>8</xdr:rowOff>
              </xdr:from>
              <xdr:to>
                <xdr:col>6</xdr:col>
                <xdr:colOff>21</xdr:colOff>
                <xdr:row>406</xdr:row>
                <xdr:rowOff>11</xdr:rowOff>
              </xdr:to>
            </anchor>
          </commentPr>
        </mc:Choice>
        <mc:Fallback/>
      </mc:AlternateContent>
    </comment>
    <comment ref="E417" authorId="0">
      <text>
        <r>
          <rPr>
            <b val="true"/>
            <sz val="8"/>
            <color rgb="FF000000"/>
            <rFont val="Tahoma"/>
            <family val="0"/>
          </rPr>
          <t xml:space="preserve">CR #27344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415</xdr:row>
                <xdr:rowOff>8</xdr:rowOff>
              </xdr:from>
              <xdr:to>
                <xdr:col>6</xdr:col>
                <xdr:colOff>21</xdr:colOff>
                <xdr:row>419</xdr:row>
                <xdr:rowOff>11</xdr:rowOff>
              </xdr:to>
            </anchor>
          </commentPr>
        </mc:Choice>
        <mc:Fallback/>
      </mc:AlternateContent>
    </comment>
    <comment ref="E430" authorId="0">
      <text>
        <r>
          <rPr>
            <b val="true"/>
            <sz val="8"/>
            <color rgb="FF000000"/>
            <rFont val="Tahoma"/>
            <family val="0"/>
          </rPr>
          <t xml:space="preserve">CR #27344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428</xdr:row>
                <xdr:rowOff>8</xdr:rowOff>
              </xdr:from>
              <xdr:to>
                <xdr:col>6</xdr:col>
                <xdr:colOff>21</xdr:colOff>
                <xdr:row>432</xdr:row>
                <xdr:rowOff>11</xdr:rowOff>
              </xdr:to>
            </anchor>
          </commentPr>
        </mc:Choice>
        <mc:Fallback/>
      </mc:AlternateContent>
    </comment>
    <comment ref="F336" authorId="0">
      <text>
        <r>
          <rPr>
            <b val="true"/>
            <sz val="8"/>
            <color rgb="FF000000"/>
            <rFont val="Tahoma"/>
            <family val="0"/>
          </rPr>
          <t xml:space="preserve">Duke did not resubscribe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334</xdr:row>
                <xdr:rowOff>8</xdr:rowOff>
              </xdr:from>
              <xdr:to>
                <xdr:col>7</xdr:col>
                <xdr:colOff>55</xdr:colOff>
                <xdr:row>338</xdr:row>
                <xdr:rowOff>11</xdr:rowOff>
              </xdr:to>
            </anchor>
          </commentPr>
        </mc:Choice>
        <mc:Fallback/>
      </mc:AlternateContent>
    </comment>
    <comment ref="F391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2001-2002.
CR #27344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389</xdr:row>
                <xdr:rowOff>8</xdr:rowOff>
              </xdr:from>
              <xdr:to>
                <xdr:col>7</xdr:col>
                <xdr:colOff>55</xdr:colOff>
                <xdr:row>393</xdr:row>
                <xdr:rowOff>13</xdr:rowOff>
              </xdr:to>
            </anchor>
          </commentPr>
        </mc:Choice>
        <mc:Fallback/>
      </mc:AlternateContent>
    </comment>
    <comment ref="F392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2001-2005. MDQ is 115/day for 2001 and 150/day for 2002-2005.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390</xdr:row>
                <xdr:rowOff>8</xdr:rowOff>
              </xdr:from>
              <xdr:to>
                <xdr:col>7</xdr:col>
                <xdr:colOff>55</xdr:colOff>
                <xdr:row>394</xdr:row>
                <xdr:rowOff>13</xdr:rowOff>
              </xdr:to>
            </anchor>
          </commentPr>
        </mc:Choice>
        <mc:Fallback/>
      </mc:AlternateContent>
    </comment>
    <comment ref="F404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402</xdr:row>
                <xdr:rowOff>8</xdr:rowOff>
              </xdr:from>
              <xdr:to>
                <xdr:col>7</xdr:col>
                <xdr:colOff>55</xdr:colOff>
                <xdr:row>406</xdr:row>
                <xdr:rowOff>13</xdr:rowOff>
              </xdr:to>
            </anchor>
          </commentPr>
        </mc:Choice>
        <mc:Fallback/>
      </mc:AlternateContent>
    </comment>
    <comment ref="F405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2001-2005. MDQ is 115/day for 2001 and 150/day for 2002-2005.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403</xdr:row>
                <xdr:rowOff>8</xdr:rowOff>
              </xdr:from>
              <xdr:to>
                <xdr:col>7</xdr:col>
                <xdr:colOff>55</xdr:colOff>
                <xdr:row>407</xdr:row>
                <xdr:rowOff>13</xdr:rowOff>
              </xdr:to>
            </anchor>
          </commentPr>
        </mc:Choice>
        <mc:Fallback/>
      </mc:AlternateContent>
    </comment>
    <comment ref="F417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415</xdr:row>
                <xdr:rowOff>8</xdr:rowOff>
              </xdr:from>
              <xdr:to>
                <xdr:col>7</xdr:col>
                <xdr:colOff>55</xdr:colOff>
                <xdr:row>419</xdr:row>
                <xdr:rowOff>13</xdr:rowOff>
              </xdr:to>
            </anchor>
          </commentPr>
        </mc:Choice>
        <mc:Fallback/>
      </mc:AlternateContent>
    </comment>
    <comment ref="F430" authorId="0">
      <text>
        <r>
          <rPr>
            <b val="true"/>
            <sz val="8"/>
            <color rgb="FF000000"/>
            <rFont val="Tahoma"/>
            <family val="0"/>
          </rPr>
          <t xml:space="preserve">Resubscribed 2001-2002.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428</xdr:row>
                <xdr:rowOff>8</xdr:rowOff>
              </xdr:from>
              <xdr:to>
                <xdr:col>7</xdr:col>
                <xdr:colOff>55</xdr:colOff>
                <xdr:row>432</xdr:row>
                <xdr:rowOff>13</xdr:rowOff>
              </xdr:to>
            </anchor>
          </commentPr>
        </mc:Choice>
        <mc:Fallback/>
      </mc:AlternateContent>
    </comment>
    <comment ref="F445" authorId="0">
      <text>
        <r>
          <rPr>
            <b val="true"/>
            <sz val="8"/>
            <color rgb="FF000000"/>
            <rFont val="Tahoma"/>
            <family val="0"/>
          </rPr>
          <t xml:space="preserve">MDQ is 40/day in Jan.,  Feb, Nov. &amp; Dec; 25/day in March, April &amp; Oct., 10/day in May-Sept. Daily volumes are on line 370.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443</xdr:row>
                <xdr:rowOff>8</xdr:rowOff>
              </xdr:from>
              <xdr:to>
                <xdr:col>7</xdr:col>
                <xdr:colOff>31</xdr:colOff>
                <xdr:row>447</xdr:row>
                <xdr:rowOff>13</xdr:rowOff>
              </xdr:to>
            </anchor>
          </commentPr>
        </mc:Choice>
        <mc:Fallback/>
      </mc:AlternateContent>
    </comment>
    <comment ref="F446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444</xdr:row>
                <xdr:rowOff>8</xdr:rowOff>
              </xdr:from>
              <xdr:to>
                <xdr:col>7</xdr:col>
                <xdr:colOff>31</xdr:colOff>
                <xdr:row>448</xdr:row>
                <xdr:rowOff>13</xdr:rowOff>
              </xdr:to>
            </anchor>
          </commentPr>
        </mc:Choice>
        <mc:Fallback/>
      </mc:AlternateContent>
    </comment>
    <comment ref="F447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445</xdr:row>
                <xdr:rowOff>8</xdr:rowOff>
              </xdr:from>
              <xdr:to>
                <xdr:col>7</xdr:col>
                <xdr:colOff>55</xdr:colOff>
                <xdr:row>449</xdr:row>
                <xdr:rowOff>13</xdr:rowOff>
              </xdr:to>
            </anchor>
          </commentPr>
        </mc:Choice>
        <mc:Fallback/>
      </mc:AlternateContent>
    </comment>
    <comment ref="F471" authorId="0">
      <text>
        <r>
          <rPr>
            <b val="true"/>
            <sz val="8"/>
            <color rgb="FF000000"/>
            <rFont val="Tahoma"/>
            <family val="0"/>
          </rPr>
          <t xml:space="preserve">MDQ is 40/day in Jan.,  Feb, Nov. &amp; Dec; 25/day in March, April &amp; Oct., 10/day in May-Sept. Daily volumes are on line 370.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0</xdr:colOff>
                <xdr:row>469</xdr:row>
                <xdr:rowOff>8</xdr:rowOff>
              </xdr:from>
              <xdr:to>
                <xdr:col>7</xdr:col>
                <xdr:colOff>37</xdr:colOff>
                <xdr:row>473</xdr:row>
                <xdr:rowOff>13</xdr:rowOff>
              </xdr:to>
            </anchor>
          </commentPr>
        </mc:Choice>
        <mc:Fallback/>
      </mc:AlternateContent>
    </comment>
    <comment ref="F472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470</xdr:row>
                <xdr:rowOff>8</xdr:rowOff>
              </xdr:from>
              <xdr:to>
                <xdr:col>7</xdr:col>
                <xdr:colOff>31</xdr:colOff>
                <xdr:row>474</xdr:row>
                <xdr:rowOff>13</xdr:rowOff>
              </xdr:to>
            </anchor>
          </commentPr>
        </mc:Choice>
        <mc:Fallback/>
      </mc:AlternateContent>
    </comment>
    <comment ref="F473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471</xdr:row>
                <xdr:rowOff>8</xdr:rowOff>
              </xdr:from>
              <xdr:to>
                <xdr:col>7</xdr:col>
                <xdr:colOff>55</xdr:colOff>
                <xdr:row>475</xdr:row>
                <xdr:rowOff>13</xdr:rowOff>
              </xdr:to>
            </anchor>
          </commentPr>
        </mc:Choice>
        <mc:Fallback/>
      </mc:AlternateContent>
    </comment>
    <comment ref="F497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495</xdr:row>
                <xdr:rowOff>8</xdr:rowOff>
              </xdr:from>
              <xdr:to>
                <xdr:col>7</xdr:col>
                <xdr:colOff>31</xdr:colOff>
                <xdr:row>499</xdr:row>
                <xdr:rowOff>13</xdr:rowOff>
              </xdr:to>
            </anchor>
          </commentPr>
        </mc:Choice>
        <mc:Fallback/>
      </mc:AlternateContent>
    </comment>
    <comment ref="F498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496</xdr:row>
                <xdr:rowOff>8</xdr:rowOff>
              </xdr:from>
              <xdr:to>
                <xdr:col>7</xdr:col>
                <xdr:colOff>55</xdr:colOff>
                <xdr:row>500</xdr:row>
                <xdr:rowOff>13</xdr:rowOff>
              </xdr:to>
            </anchor>
          </commentPr>
        </mc:Choice>
        <mc:Fallback/>
      </mc:AlternateContent>
    </comment>
    <comment ref="F522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120</xdr:colOff>
                <xdr:row>520</xdr:row>
                <xdr:rowOff>8</xdr:rowOff>
              </xdr:from>
              <xdr:to>
                <xdr:col>7</xdr:col>
                <xdr:colOff>31</xdr:colOff>
                <xdr:row>524</xdr:row>
                <xdr:rowOff>13</xdr:rowOff>
              </xdr:to>
            </anchor>
          </commentPr>
        </mc:Choice>
        <mc:Fallback/>
      </mc:AlternateContent>
    </comment>
    <comment ref="F523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521</xdr:row>
                <xdr:rowOff>8</xdr:rowOff>
              </xdr:from>
              <xdr:to>
                <xdr:col>7</xdr:col>
                <xdr:colOff>55</xdr:colOff>
                <xdr:row>525</xdr:row>
                <xdr:rowOff>13</xdr:rowOff>
              </xdr:to>
            </anchor>
          </commentPr>
        </mc:Choice>
        <mc:Fallback/>
      </mc:AlternateContent>
    </comment>
    <comment ref="H10" authorId="0">
      <text>
        <r>
          <rPr>
            <b val="true"/>
            <sz val="8"/>
            <color rgb="FF000000"/>
            <rFont val="Tahoma"/>
            <family val="2"/>
          </rPr>
          <t xml:space="preserve">Originally had incorrect Term Date of 10/31/2002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8</xdr:row>
                <xdr:rowOff>8</xdr:rowOff>
              </xdr:from>
              <xdr:to>
                <xdr:col>9</xdr:col>
                <xdr:colOff>25</xdr:colOff>
                <xdr:row>12</xdr:row>
                <xdr:rowOff>11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51</xdr:colOff>
                <xdr:row>10</xdr:row>
                <xdr:rowOff>7</xdr:rowOff>
              </xdr:from>
              <xdr:to>
                <xdr:col>9</xdr:col>
                <xdr:colOff>1</xdr:colOff>
                <xdr:row>14</xdr:row>
                <xdr:rowOff>13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Resubscription of KN CR #26751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13</xdr:row>
                <xdr:rowOff>8</xdr:rowOff>
              </xdr:from>
              <xdr:to>
                <xdr:col>9</xdr:col>
                <xdr:colOff>25</xdr:colOff>
                <xdr:row>17</xdr:row>
                <xdr:rowOff>11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2"/>
          </rPr>
          <t xml:space="preserve">Originally had incorrect Term Date of 10/31/2002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31</xdr:row>
                <xdr:rowOff>8</xdr:rowOff>
              </xdr:from>
              <xdr:to>
                <xdr:col>9</xdr:col>
                <xdr:colOff>26</xdr:colOff>
                <xdr:row>35</xdr:row>
                <xdr:rowOff>11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33</xdr:row>
                <xdr:rowOff>8</xdr:rowOff>
              </xdr:from>
              <xdr:to>
                <xdr:col>9</xdr:col>
                <xdr:colOff>26</xdr:colOff>
                <xdr:row>37</xdr:row>
                <xdr:rowOff>13</xdr:rowOff>
              </xdr:to>
            </anchor>
          </commentPr>
        </mc:Choice>
        <mc:Fallback/>
      </mc:AlternateContent>
    </comment>
    <comment ref="H38" authorId="0">
      <text>
        <r>
          <rPr>
            <b val="true"/>
            <sz val="8"/>
            <color rgb="FF000000"/>
            <rFont val="Tahoma"/>
            <family val="0"/>
          </rPr>
          <t xml:space="preserve">Resubscription of KN CR #26751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36</xdr:row>
                <xdr:rowOff>8</xdr:rowOff>
              </xdr:from>
              <xdr:to>
                <xdr:col>9</xdr:col>
                <xdr:colOff>26</xdr:colOff>
                <xdr:row>40</xdr:row>
                <xdr:rowOff>11</xdr:rowOff>
              </xdr:to>
            </anchor>
          </commentPr>
        </mc:Choice>
        <mc:Fallback/>
      </mc:AlternateContent>
    </comment>
    <comment ref="H55" authorId="0">
      <text>
        <r>
          <rPr>
            <b val="true"/>
            <sz val="8"/>
            <color rgb="FF000000"/>
            <rFont val="Tahoma"/>
            <family val="2"/>
          </rPr>
          <t xml:space="preserve">Originally had incorrect Term Date of 10/31/2002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53</xdr:row>
                <xdr:rowOff>8</xdr:rowOff>
              </xdr:from>
              <xdr:to>
                <xdr:col>9</xdr:col>
                <xdr:colOff>26</xdr:colOff>
                <xdr:row>57</xdr:row>
                <xdr:rowOff>11</xdr:rowOff>
              </xdr:to>
            </anchor>
          </commentPr>
        </mc:Choice>
        <mc:Fallback/>
      </mc:AlternateContent>
    </comment>
    <comment ref="H57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Rates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55</xdr:row>
                <xdr:rowOff>8</xdr:rowOff>
              </xdr:from>
              <xdr:to>
                <xdr:col>9</xdr:col>
                <xdr:colOff>26</xdr:colOff>
                <xdr:row>59</xdr:row>
                <xdr:rowOff>13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Resubscription of KN CR #26751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58</xdr:row>
                <xdr:rowOff>8</xdr:rowOff>
              </xdr:from>
              <xdr:to>
                <xdr:col>9</xdr:col>
                <xdr:colOff>26</xdr:colOff>
                <xdr:row>62</xdr:row>
                <xdr:rowOff>11</xdr:rowOff>
              </xdr:to>
            </anchor>
          </commentPr>
        </mc:Choice>
        <mc:Fallback/>
      </mc:AlternateContent>
    </comment>
    <comment ref="H64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Rates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62</xdr:row>
                <xdr:rowOff>8</xdr:rowOff>
              </xdr:from>
              <xdr:to>
                <xdr:col>9</xdr:col>
                <xdr:colOff>26</xdr:colOff>
                <xdr:row>66</xdr:row>
                <xdr:rowOff>13</xdr:rowOff>
              </xdr:to>
            </anchor>
          </commentPr>
        </mc:Choice>
        <mc:Fallback/>
      </mc:AlternateContent>
    </comment>
    <comment ref="H78" authorId="0">
      <text>
        <r>
          <rPr>
            <b val="true"/>
            <sz val="8"/>
            <color rgb="FF000000"/>
            <rFont val="Tahoma"/>
            <family val="2"/>
          </rPr>
          <t xml:space="preserve">Originally had incorrect Term Date of 10/31/2002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76</xdr:row>
                <xdr:rowOff>8</xdr:rowOff>
              </xdr:from>
              <xdr:to>
                <xdr:col>9</xdr:col>
                <xdr:colOff>26</xdr:colOff>
                <xdr:row>80</xdr:row>
                <xdr:rowOff>11</xdr:rowOff>
              </xdr:to>
            </anchor>
          </commentPr>
        </mc:Choice>
        <mc:Fallback/>
      </mc:AlternateContent>
    </comment>
    <comment ref="H80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Rates changes 11/01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78</xdr:row>
                <xdr:rowOff>8</xdr:rowOff>
              </xdr:from>
              <xdr:to>
                <xdr:col>9</xdr:col>
                <xdr:colOff>26</xdr:colOff>
                <xdr:row>82</xdr:row>
                <xdr:rowOff>13</xdr:rowOff>
              </xdr:to>
            </anchor>
          </commentPr>
        </mc:Choice>
        <mc:Fallback/>
      </mc:AlternateContent>
    </comment>
    <comment ref="H83" authorId="0">
      <text>
        <r>
          <rPr>
            <b val="true"/>
            <sz val="8"/>
            <color rgb="FF000000"/>
            <rFont val="Tahoma"/>
            <family val="0"/>
          </rPr>
          <t xml:space="preserve">Resubscription of KN CR #26751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81</xdr:row>
                <xdr:rowOff>8</xdr:rowOff>
              </xdr:from>
              <xdr:to>
                <xdr:col>9</xdr:col>
                <xdr:colOff>26</xdr:colOff>
                <xdr:row>85</xdr:row>
                <xdr:rowOff>11</xdr:rowOff>
              </xdr:to>
            </anchor>
          </commentPr>
        </mc:Choice>
        <mc:Fallback/>
      </mc:AlternateContent>
    </comment>
    <comment ref="H87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Rates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85</xdr:row>
                <xdr:rowOff>8</xdr:rowOff>
              </xdr:from>
              <xdr:to>
                <xdr:col>9</xdr:col>
                <xdr:colOff>26</xdr:colOff>
                <xdr:row>89</xdr:row>
                <xdr:rowOff>13</xdr:rowOff>
              </xdr:to>
            </anchor>
          </commentPr>
        </mc:Choice>
        <mc:Fallback/>
      </mc:AlternateContent>
    </comment>
    <comment ref="H445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58</xdr:colOff>
                <xdr:row>443</xdr:row>
                <xdr:rowOff>8</xdr:rowOff>
              </xdr:from>
              <xdr:to>
                <xdr:col>9</xdr:col>
                <xdr:colOff>8</xdr:colOff>
                <xdr:row>447</xdr:row>
                <xdr:rowOff>13</xdr:rowOff>
              </xdr:to>
            </anchor>
          </commentPr>
        </mc:Choice>
        <mc:Fallback/>
      </mc:AlternateContent>
    </comment>
    <comment ref="H453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451</xdr:row>
                <xdr:rowOff>8</xdr:rowOff>
              </xdr:from>
              <xdr:to>
                <xdr:col>9</xdr:col>
                <xdr:colOff>26</xdr:colOff>
                <xdr:row>455</xdr:row>
                <xdr:rowOff>11</xdr:rowOff>
              </xdr:to>
            </anchor>
          </commentPr>
        </mc:Choice>
        <mc:Fallback/>
      </mc:AlternateContent>
    </comment>
    <comment ref="H454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452</xdr:row>
                <xdr:rowOff>8</xdr:rowOff>
              </xdr:from>
              <xdr:to>
                <xdr:col>9</xdr:col>
                <xdr:colOff>26</xdr:colOff>
                <xdr:row>456</xdr:row>
                <xdr:rowOff>13</xdr:rowOff>
              </xdr:to>
            </anchor>
          </commentPr>
        </mc:Choice>
        <mc:Fallback/>
      </mc:AlternateContent>
    </comment>
    <comment ref="H460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458</xdr:row>
                <xdr:rowOff>8</xdr:rowOff>
              </xdr:from>
              <xdr:to>
                <xdr:col>9</xdr:col>
                <xdr:colOff>26</xdr:colOff>
                <xdr:row>462</xdr:row>
                <xdr:rowOff>11</xdr:rowOff>
              </xdr:to>
            </anchor>
          </commentPr>
        </mc:Choice>
        <mc:Fallback/>
      </mc:AlternateContent>
    </comment>
    <comment ref="H461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459</xdr:row>
                <xdr:rowOff>8</xdr:rowOff>
              </xdr:from>
              <xdr:to>
                <xdr:col>9</xdr:col>
                <xdr:colOff>26</xdr:colOff>
                <xdr:row>463</xdr:row>
                <xdr:rowOff>13</xdr:rowOff>
              </xdr:to>
            </anchor>
          </commentPr>
        </mc:Choice>
        <mc:Fallback/>
      </mc:AlternateContent>
    </comment>
    <comment ref="H471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58</xdr:colOff>
                <xdr:row>469</xdr:row>
                <xdr:rowOff>8</xdr:rowOff>
              </xdr:from>
              <xdr:to>
                <xdr:col>9</xdr:col>
                <xdr:colOff>8</xdr:colOff>
                <xdr:row>473</xdr:row>
                <xdr:rowOff>13</xdr:rowOff>
              </xdr:to>
            </anchor>
          </commentPr>
        </mc:Choice>
        <mc:Fallback/>
      </mc:AlternateContent>
    </comment>
    <comment ref="H479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477</xdr:row>
                <xdr:rowOff>8</xdr:rowOff>
              </xdr:from>
              <xdr:to>
                <xdr:col>9</xdr:col>
                <xdr:colOff>26</xdr:colOff>
                <xdr:row>481</xdr:row>
                <xdr:rowOff>11</xdr:rowOff>
              </xdr:to>
            </anchor>
          </commentPr>
        </mc:Choice>
        <mc:Fallback/>
      </mc:AlternateContent>
    </comment>
    <comment ref="H480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478</xdr:row>
                <xdr:rowOff>8</xdr:rowOff>
              </xdr:from>
              <xdr:to>
                <xdr:col>9</xdr:col>
                <xdr:colOff>26</xdr:colOff>
                <xdr:row>482</xdr:row>
                <xdr:rowOff>13</xdr:rowOff>
              </xdr:to>
            </anchor>
          </commentPr>
        </mc:Choice>
        <mc:Fallback/>
      </mc:AlternateContent>
    </comment>
    <comment ref="H486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484</xdr:row>
                <xdr:rowOff>8</xdr:rowOff>
              </xdr:from>
              <xdr:to>
                <xdr:col>9</xdr:col>
                <xdr:colOff>26</xdr:colOff>
                <xdr:row>488</xdr:row>
                <xdr:rowOff>11</xdr:rowOff>
              </xdr:to>
            </anchor>
          </commentPr>
        </mc:Choice>
        <mc:Fallback/>
      </mc:AlternateContent>
    </comment>
    <comment ref="H487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485</xdr:row>
                <xdr:rowOff>8</xdr:rowOff>
              </xdr:from>
              <xdr:to>
                <xdr:col>9</xdr:col>
                <xdr:colOff>26</xdr:colOff>
                <xdr:row>489</xdr:row>
                <xdr:rowOff>13</xdr:rowOff>
              </xdr:to>
            </anchor>
          </commentPr>
        </mc:Choice>
        <mc:Fallback/>
      </mc:AlternateContent>
    </comment>
    <comment ref="H496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58</xdr:colOff>
                <xdr:row>494</xdr:row>
                <xdr:rowOff>8</xdr:rowOff>
              </xdr:from>
              <xdr:to>
                <xdr:col>9</xdr:col>
                <xdr:colOff>8</xdr:colOff>
                <xdr:row>498</xdr:row>
                <xdr:rowOff>13</xdr:rowOff>
              </xdr:to>
            </anchor>
          </commentPr>
        </mc:Choice>
        <mc:Fallback/>
      </mc:AlternateContent>
    </comment>
    <comment ref="H504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502</xdr:row>
                <xdr:rowOff>8</xdr:rowOff>
              </xdr:from>
              <xdr:to>
                <xdr:col>9</xdr:col>
                <xdr:colOff>26</xdr:colOff>
                <xdr:row>506</xdr:row>
                <xdr:rowOff>11</xdr:rowOff>
              </xdr:to>
            </anchor>
          </commentPr>
        </mc:Choice>
        <mc:Fallback/>
      </mc:AlternateContent>
    </comment>
    <comment ref="H505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503</xdr:row>
                <xdr:rowOff>8</xdr:rowOff>
              </xdr:from>
              <xdr:to>
                <xdr:col>9</xdr:col>
                <xdr:colOff>26</xdr:colOff>
                <xdr:row>507</xdr:row>
                <xdr:rowOff>13</xdr:rowOff>
              </xdr:to>
            </anchor>
          </commentPr>
        </mc:Choice>
        <mc:Fallback/>
      </mc:AlternateContent>
    </comment>
    <comment ref="H511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509</xdr:row>
                <xdr:rowOff>8</xdr:rowOff>
              </xdr:from>
              <xdr:to>
                <xdr:col>9</xdr:col>
                <xdr:colOff>26</xdr:colOff>
                <xdr:row>513</xdr:row>
                <xdr:rowOff>11</xdr:rowOff>
              </xdr:to>
            </anchor>
          </commentPr>
        </mc:Choice>
        <mc:Fallback/>
      </mc:AlternateContent>
    </comment>
    <comment ref="H512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510</xdr:row>
                <xdr:rowOff>8</xdr:rowOff>
              </xdr:from>
              <xdr:to>
                <xdr:col>9</xdr:col>
                <xdr:colOff>26</xdr:colOff>
                <xdr:row>514</xdr:row>
                <xdr:rowOff>13</xdr:rowOff>
              </xdr:to>
            </anchor>
          </commentPr>
        </mc:Choice>
        <mc:Fallback/>
      </mc:AlternateContent>
    </comment>
    <comment ref="H521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58</xdr:colOff>
                <xdr:row>519</xdr:row>
                <xdr:rowOff>8</xdr:rowOff>
              </xdr:from>
              <xdr:to>
                <xdr:col>9</xdr:col>
                <xdr:colOff>8</xdr:colOff>
                <xdr:row>523</xdr:row>
                <xdr:rowOff>13</xdr:rowOff>
              </xdr:to>
            </anchor>
          </commentPr>
        </mc:Choice>
        <mc:Fallback/>
      </mc:AlternateContent>
    </comment>
    <comment ref="H529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527</xdr:row>
                <xdr:rowOff>8</xdr:rowOff>
              </xdr:from>
              <xdr:to>
                <xdr:col>9</xdr:col>
                <xdr:colOff>26</xdr:colOff>
                <xdr:row>531</xdr:row>
                <xdr:rowOff>11</xdr:rowOff>
              </xdr:to>
            </anchor>
          </commentPr>
        </mc:Choice>
        <mc:Fallback/>
      </mc:AlternateContent>
    </comment>
    <comment ref="H530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528</xdr:row>
                <xdr:rowOff>8</xdr:rowOff>
              </xdr:from>
              <xdr:to>
                <xdr:col>9</xdr:col>
                <xdr:colOff>26</xdr:colOff>
                <xdr:row>532</xdr:row>
                <xdr:rowOff>13</xdr:rowOff>
              </xdr:to>
            </anchor>
          </commentPr>
        </mc:Choice>
        <mc:Fallback/>
      </mc:AlternateContent>
    </comment>
    <comment ref="H536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3/31/03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534</xdr:row>
                <xdr:rowOff>8</xdr:rowOff>
              </xdr:from>
              <xdr:to>
                <xdr:col>9</xdr:col>
                <xdr:colOff>26</xdr:colOff>
                <xdr:row>538</xdr:row>
                <xdr:rowOff>11</xdr:rowOff>
              </xdr:to>
            </anchor>
          </commentPr>
        </mc:Choice>
        <mc:Fallback/>
      </mc:AlternateContent>
    </comment>
    <comment ref="H537" authorId="0">
      <text>
        <r>
          <rPr>
            <b val="true"/>
            <sz val="8"/>
            <color rgb="FF000000"/>
            <rFont val="Tahoma"/>
            <family val="0"/>
          </rPr>
          <t xml:space="preserve">Resubscribed through 10/31/2003; Rate changes 11/01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76</xdr:colOff>
                <xdr:row>535</xdr:row>
                <xdr:rowOff>8</xdr:rowOff>
              </xdr:from>
              <xdr:to>
                <xdr:col>9</xdr:col>
                <xdr:colOff>26</xdr:colOff>
                <xdr:row>539</xdr:row>
                <xdr:rowOff>13</xdr:rowOff>
              </xdr:to>
            </anchor>
          </commentPr>
        </mc:Choice>
        <mc:Fallback/>
      </mc:AlternateContent>
    </comment>
    <comment ref="I456" authorId="0">
      <text>
        <r>
          <rPr>
            <b val="true"/>
            <sz val="8"/>
            <color rgb="FF000000"/>
            <rFont val="Tahoma"/>
            <family val="0"/>
          </rPr>
          <t xml:space="preserve">25/day in Oct., 40/day in Nov. and Dec.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65</xdr:colOff>
                <xdr:row>454</xdr:row>
                <xdr:rowOff>8</xdr:rowOff>
              </xdr:from>
              <xdr:to>
                <xdr:col>10</xdr:col>
                <xdr:colOff>29</xdr:colOff>
                <xdr:row>458</xdr:row>
                <xdr:rowOff>13</xdr:rowOff>
              </xdr:to>
            </anchor>
          </commentPr>
        </mc:Choice>
        <mc:Fallback/>
      </mc:AlternateContent>
    </comment>
    <comment ref="I482" authorId="0">
      <text>
        <r>
          <rPr>
            <b val="true"/>
            <sz val="8"/>
            <color rgb="FF000000"/>
            <rFont val="Tahoma"/>
            <family val="0"/>
          </rPr>
          <t xml:space="preserve">25/day in Oct., 40/day in Nov. and Dec.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65</xdr:colOff>
                <xdr:row>480</xdr:row>
                <xdr:rowOff>8</xdr:rowOff>
              </xdr:from>
              <xdr:to>
                <xdr:col>10</xdr:col>
                <xdr:colOff>29</xdr:colOff>
                <xdr:row>484</xdr:row>
                <xdr:rowOff>13</xdr:rowOff>
              </xdr:to>
            </anchor>
          </commentPr>
        </mc:Choice>
        <mc:Fallback/>
      </mc:AlternateContent>
    </comment>
    <comment ref="I532" authorId="0">
      <text>
        <r>
          <rPr>
            <b val="true"/>
            <sz val="8"/>
            <color rgb="FF000000"/>
            <rFont val="Tahoma"/>
            <family val="0"/>
          </rPr>
          <t xml:space="preserve">25/day in Oct., 40/day in Nov. and Dec.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65</xdr:colOff>
                <xdr:row>530</xdr:row>
                <xdr:rowOff>8</xdr:rowOff>
              </xdr:from>
              <xdr:to>
                <xdr:col>10</xdr:col>
                <xdr:colOff>29</xdr:colOff>
                <xdr:row>534</xdr:row>
                <xdr:rowOff>13</xdr:rowOff>
              </xdr:to>
            </anchor>
          </commentPr>
        </mc:Choice>
        <mc:Fallback/>
      </mc:AlternateContent>
    </comment>
    <comment ref="K58" authorId="0">
      <text>
        <r>
          <rPr>
            <b val="true"/>
            <sz val="8"/>
            <color rgb="FF000000"/>
            <rFont val="Tahoma"/>
            <family val="0"/>
          </rPr>
          <t xml:space="preserve">Rate changes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44</xdr:colOff>
                <xdr:row>56</xdr:row>
                <xdr:rowOff>7</xdr:rowOff>
              </xdr:from>
              <xdr:to>
                <xdr:col>12</xdr:col>
                <xdr:colOff>0</xdr:colOff>
                <xdr:row>60</xdr:row>
                <xdr:rowOff>13</xdr:rowOff>
              </xdr:to>
            </anchor>
          </commentPr>
        </mc:Choice>
        <mc:Fallback/>
      </mc:AlternateContent>
    </comment>
    <comment ref="K142" authorId="0">
      <text>
        <r>
          <rPr>
            <b val="true"/>
            <sz val="8"/>
            <color rgb="FF000000"/>
            <rFont val="Tahoma"/>
            <family val="0"/>
          </rPr>
          <t xml:space="preserve">Rate changes effective 11/1/01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140</xdr:row>
                <xdr:rowOff>8</xdr:rowOff>
              </xdr:from>
              <xdr:to>
                <xdr:col>12</xdr:col>
                <xdr:colOff>0</xdr:colOff>
                <xdr:row>144</xdr:row>
                <xdr:rowOff>13</xdr:rowOff>
              </xdr:to>
            </anchor>
          </commentPr>
        </mc:Choice>
        <mc:Fallback/>
      </mc:AlternateContent>
    </comment>
    <comment ref="K143" authorId="0">
      <text>
        <r>
          <rPr>
            <b val="true"/>
            <sz val="8"/>
            <color rgb="FF000000"/>
            <rFont val="Tahoma"/>
            <family val="0"/>
          </rPr>
          <t xml:space="preserve">Rate 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141</xdr:row>
                <xdr:rowOff>8</xdr:rowOff>
              </xdr:from>
              <xdr:to>
                <xdr:col>12</xdr:col>
                <xdr:colOff>0</xdr:colOff>
                <xdr:row>145</xdr:row>
                <xdr:rowOff>13</xdr:rowOff>
              </xdr:to>
            </anchor>
          </commentPr>
        </mc:Choice>
        <mc:Fallback/>
      </mc:AlternateContent>
    </comment>
    <comment ref="K144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142</xdr:row>
                <xdr:rowOff>8</xdr:rowOff>
              </xdr:from>
              <xdr:to>
                <xdr:col>12</xdr:col>
                <xdr:colOff>0</xdr:colOff>
                <xdr:row>146</xdr:row>
                <xdr:rowOff>13</xdr:rowOff>
              </xdr:to>
            </anchor>
          </commentPr>
        </mc:Choice>
        <mc:Fallback/>
      </mc:AlternateContent>
    </comment>
    <comment ref="K14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143</xdr:row>
                <xdr:rowOff>8</xdr:rowOff>
              </xdr:from>
              <xdr:to>
                <xdr:col>12</xdr:col>
                <xdr:colOff>0</xdr:colOff>
                <xdr:row>147</xdr:row>
                <xdr:rowOff>13</xdr:rowOff>
              </xdr:to>
            </anchor>
          </commentPr>
        </mc:Choice>
        <mc:Fallback/>
      </mc:AlternateContent>
    </comment>
    <comment ref="K146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144</xdr:row>
                <xdr:rowOff>8</xdr:rowOff>
              </xdr:from>
              <xdr:to>
                <xdr:col>12</xdr:col>
                <xdr:colOff>0</xdr:colOff>
                <xdr:row>148</xdr:row>
                <xdr:rowOff>13</xdr:rowOff>
              </xdr:to>
            </anchor>
          </commentPr>
        </mc:Choice>
        <mc:Fallback/>
      </mc:AlternateContent>
    </comment>
    <comment ref="K148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146</xdr:row>
                <xdr:rowOff>8</xdr:rowOff>
              </xdr:from>
              <xdr:to>
                <xdr:col>12</xdr:col>
                <xdr:colOff>0</xdr:colOff>
                <xdr:row>150</xdr:row>
                <xdr:rowOff>13</xdr:rowOff>
              </xdr:to>
            </anchor>
          </commentPr>
        </mc:Choice>
        <mc:Fallback/>
      </mc:AlternateContent>
    </comment>
    <comment ref="K14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147</xdr:row>
                <xdr:rowOff>8</xdr:rowOff>
              </xdr:from>
              <xdr:to>
                <xdr:col>12</xdr:col>
                <xdr:colOff>0</xdr:colOff>
                <xdr:row>151</xdr:row>
                <xdr:rowOff>13</xdr:rowOff>
              </xdr:to>
            </anchor>
          </commentPr>
        </mc:Choice>
        <mc:Fallback/>
      </mc:AlternateContent>
    </comment>
    <comment ref="K15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157</xdr:row>
                <xdr:rowOff>8</xdr:rowOff>
              </xdr:from>
              <xdr:to>
                <xdr:col>12</xdr:col>
                <xdr:colOff>16</xdr:colOff>
                <xdr:row>161</xdr:row>
                <xdr:rowOff>13</xdr:rowOff>
              </xdr:to>
            </anchor>
          </commentPr>
        </mc:Choice>
        <mc:Fallback/>
      </mc:AlternateContent>
    </comment>
    <comment ref="K220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$0.1514 3/1/01.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218</xdr:row>
                <xdr:rowOff>8</xdr:rowOff>
              </xdr:from>
              <xdr:to>
                <xdr:col>12</xdr:col>
                <xdr:colOff>16</xdr:colOff>
                <xdr:row>222</xdr:row>
                <xdr:rowOff>13</xdr:rowOff>
              </xdr:to>
            </anchor>
          </commentPr>
        </mc:Choice>
        <mc:Fallback/>
      </mc:AlternateContent>
    </comment>
    <comment ref="K221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219</xdr:row>
                <xdr:rowOff>8</xdr:rowOff>
              </xdr:from>
              <xdr:to>
                <xdr:col>12</xdr:col>
                <xdr:colOff>16</xdr:colOff>
                <xdr:row>223</xdr:row>
                <xdr:rowOff>13</xdr:rowOff>
              </xdr:to>
            </anchor>
          </commentPr>
        </mc:Choice>
        <mc:Fallback/>
      </mc:AlternateContent>
    </comment>
    <comment ref="K234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$0.1514 3/1/01.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232</xdr:row>
                <xdr:rowOff>8</xdr:rowOff>
              </xdr:from>
              <xdr:to>
                <xdr:col>12</xdr:col>
                <xdr:colOff>16</xdr:colOff>
                <xdr:row>236</xdr:row>
                <xdr:rowOff>13</xdr:rowOff>
              </xdr:to>
            </anchor>
          </commentPr>
        </mc:Choice>
        <mc:Fallback/>
      </mc:AlternateContent>
    </comment>
    <comment ref="K236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234</xdr:row>
                <xdr:rowOff>8</xdr:rowOff>
              </xdr:from>
              <xdr:to>
                <xdr:col>12</xdr:col>
                <xdr:colOff>16</xdr:colOff>
                <xdr:row>238</xdr:row>
                <xdr:rowOff>13</xdr:rowOff>
              </xdr:to>
            </anchor>
          </commentPr>
        </mc:Choice>
        <mc:Fallback/>
      </mc:AlternateContent>
    </comment>
    <comment ref="K265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263</xdr:row>
                <xdr:rowOff>8</xdr:rowOff>
              </xdr:from>
              <xdr:to>
                <xdr:col>12</xdr:col>
                <xdr:colOff>16</xdr:colOff>
                <xdr:row>267</xdr:row>
                <xdr:rowOff>13</xdr:rowOff>
              </xdr:to>
            </anchor>
          </commentPr>
        </mc:Choice>
        <mc:Fallback/>
      </mc:AlternateContent>
    </comment>
    <comment ref="K271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269</xdr:row>
                <xdr:rowOff>8</xdr:rowOff>
              </xdr:from>
              <xdr:to>
                <xdr:col>12</xdr:col>
                <xdr:colOff>16</xdr:colOff>
                <xdr:row>273</xdr:row>
                <xdr:rowOff>13</xdr:rowOff>
              </xdr:to>
            </anchor>
          </commentPr>
        </mc:Choice>
        <mc:Fallback/>
      </mc:AlternateContent>
    </comment>
    <comment ref="K30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301</xdr:row>
                <xdr:rowOff>8</xdr:rowOff>
              </xdr:from>
              <xdr:to>
                <xdr:col>12</xdr:col>
                <xdr:colOff>0</xdr:colOff>
                <xdr:row>305</xdr:row>
                <xdr:rowOff>13</xdr:rowOff>
              </xdr:to>
            </anchor>
          </commentPr>
        </mc:Choice>
        <mc:Fallback/>
      </mc:AlternateContent>
    </comment>
    <comment ref="K304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302</xdr:row>
                <xdr:rowOff>8</xdr:rowOff>
              </xdr:from>
              <xdr:to>
                <xdr:col>12</xdr:col>
                <xdr:colOff>0</xdr:colOff>
                <xdr:row>306</xdr:row>
                <xdr:rowOff>13</xdr:rowOff>
              </xdr:to>
            </anchor>
          </commentPr>
        </mc:Choice>
        <mc:Fallback/>
      </mc:AlternateContent>
    </comment>
    <comment ref="K30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303</xdr:row>
                <xdr:rowOff>8</xdr:rowOff>
              </xdr:from>
              <xdr:to>
                <xdr:col>12</xdr:col>
                <xdr:colOff>0</xdr:colOff>
                <xdr:row>307</xdr:row>
                <xdr:rowOff>13</xdr:rowOff>
              </xdr:to>
            </anchor>
          </commentPr>
        </mc:Choice>
        <mc:Fallback/>
      </mc:AlternateContent>
    </comment>
    <comment ref="K306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304</xdr:row>
                <xdr:rowOff>8</xdr:rowOff>
              </xdr:from>
              <xdr:to>
                <xdr:col>12</xdr:col>
                <xdr:colOff>0</xdr:colOff>
                <xdr:row>308</xdr:row>
                <xdr:rowOff>13</xdr:rowOff>
              </xdr:to>
            </anchor>
          </commentPr>
        </mc:Choice>
        <mc:Fallback/>
      </mc:AlternateContent>
    </comment>
    <comment ref="K307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305</xdr:row>
                <xdr:rowOff>8</xdr:rowOff>
              </xdr:from>
              <xdr:to>
                <xdr:col>12</xdr:col>
                <xdr:colOff>0</xdr:colOff>
                <xdr:row>309</xdr:row>
                <xdr:rowOff>13</xdr:rowOff>
              </xdr:to>
            </anchor>
          </commentPr>
        </mc:Choice>
        <mc:Fallback/>
      </mc:AlternateContent>
    </comment>
    <comment ref="K308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306</xdr:row>
                <xdr:rowOff>8</xdr:rowOff>
              </xdr:from>
              <xdr:to>
                <xdr:col>12</xdr:col>
                <xdr:colOff>0</xdr:colOff>
                <xdr:row>310</xdr:row>
                <xdr:rowOff>13</xdr:rowOff>
              </xdr:to>
            </anchor>
          </commentPr>
        </mc:Choice>
        <mc:Fallback/>
      </mc:AlternateContent>
    </comment>
    <comment ref="K30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307</xdr:row>
                <xdr:rowOff>8</xdr:rowOff>
              </xdr:from>
              <xdr:to>
                <xdr:col>12</xdr:col>
                <xdr:colOff>0</xdr:colOff>
                <xdr:row>311</xdr:row>
                <xdr:rowOff>13</xdr:rowOff>
              </xdr:to>
            </anchor>
          </commentPr>
        </mc:Choice>
        <mc:Fallback/>
      </mc:AlternateContent>
    </comment>
    <comment ref="K354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$0.0589 11/1/01.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352</xdr:row>
                <xdr:rowOff>8</xdr:rowOff>
              </xdr:from>
              <xdr:to>
                <xdr:col>12</xdr:col>
                <xdr:colOff>16</xdr:colOff>
                <xdr:row>356</xdr:row>
                <xdr:rowOff>13</xdr:rowOff>
              </xdr:to>
            </anchor>
          </commentPr>
        </mc:Choice>
        <mc:Fallback/>
      </mc:AlternateContent>
    </comment>
    <comment ref="K366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$0.0589 11/1/01.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364</xdr:row>
                <xdr:rowOff>8</xdr:rowOff>
              </xdr:from>
              <xdr:to>
                <xdr:col>12</xdr:col>
                <xdr:colOff>16</xdr:colOff>
                <xdr:row>368</xdr:row>
                <xdr:rowOff>13</xdr:rowOff>
              </xdr:to>
            </anchor>
          </commentPr>
        </mc:Choice>
        <mc:Fallback/>
      </mc:AlternateContent>
    </comment>
    <comment ref="K411" authorId="0">
      <text>
        <r>
          <rPr>
            <b val="true"/>
            <sz val="8"/>
            <color rgb="FF000000"/>
            <rFont val="Tahoma"/>
            <family val="0"/>
          </rPr>
          <t xml:space="preserve">Rate decreases to $0.0317 for Feb., March, Nov. and Dec. Rate is $0.0367 for April through October.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409</xdr:row>
                <xdr:rowOff>8</xdr:rowOff>
              </xdr:from>
              <xdr:to>
                <xdr:col>12</xdr:col>
                <xdr:colOff>16</xdr:colOff>
                <xdr:row>413</xdr:row>
                <xdr:rowOff>13</xdr:rowOff>
              </xdr:to>
            </anchor>
          </commentPr>
        </mc:Choice>
        <mc:Fallback/>
      </mc:AlternateContent>
    </comment>
    <comment ref="K424" authorId="0">
      <text>
        <r>
          <rPr>
            <b val="true"/>
            <sz val="8"/>
            <color rgb="FF000000"/>
            <rFont val="Tahoma"/>
            <family val="0"/>
          </rPr>
          <t xml:space="preserve">Rate decreases to $0.0317 for Feb., March, Nov. and Dec. Rate is $0.0367 for April through October.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422</xdr:row>
                <xdr:rowOff>8</xdr:rowOff>
              </xdr:from>
              <xdr:to>
                <xdr:col>12</xdr:col>
                <xdr:colOff>16</xdr:colOff>
                <xdr:row>426</xdr:row>
                <xdr:rowOff>13</xdr:rowOff>
              </xdr:to>
            </anchor>
          </commentPr>
        </mc:Choice>
        <mc:Fallback/>
      </mc:AlternateContent>
    </comment>
    <comment ref="K497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$0.0157 8/1/01.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495</xdr:row>
                <xdr:rowOff>8</xdr:rowOff>
              </xdr:from>
              <xdr:to>
                <xdr:col>12</xdr:col>
                <xdr:colOff>16</xdr:colOff>
                <xdr:row>499</xdr:row>
                <xdr:rowOff>13</xdr:rowOff>
              </xdr:to>
            </anchor>
          </commentPr>
        </mc:Choice>
        <mc:Fallback/>
      </mc:AlternateContent>
    </comment>
    <comment ref="K522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$0.0157 8/1/01.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60</xdr:colOff>
                <xdr:row>520</xdr:row>
                <xdr:rowOff>8</xdr:rowOff>
              </xdr:from>
              <xdr:to>
                <xdr:col>12</xdr:col>
                <xdr:colOff>16</xdr:colOff>
                <xdr:row>524</xdr:row>
                <xdr:rowOff>13</xdr:rowOff>
              </xdr:to>
            </anchor>
          </commentPr>
        </mc:Choice>
        <mc:Fallback/>
      </mc:AlternateContent>
    </comment>
    <comment ref="U497" authorId="0">
      <text>
        <r>
          <rPr>
            <b val="true"/>
            <sz val="8"/>
            <color rgb="FF000000"/>
            <rFont val="Tahoma"/>
            <family val="0"/>
          </rPr>
          <t xml:space="preserve">Formula changed here to reflect increase in rate from $0.02 to $0.025/mmbtu.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50</xdr:colOff>
                <xdr:row>495</xdr:row>
                <xdr:rowOff>8</xdr:rowOff>
              </xdr:from>
              <xdr:to>
                <xdr:col>21</xdr:col>
                <xdr:colOff>76</xdr:colOff>
                <xdr:row>499</xdr:row>
                <xdr:rowOff>13</xdr:rowOff>
              </xdr:to>
            </anchor>
          </commentPr>
        </mc:Choice>
        <mc:Fallback/>
      </mc:AlternateContent>
    </comment>
    <comment ref="V337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0"/>
          </rPr>
          <t xml:space="preserve">Volume reduced to 14,000/d for September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335</xdr:row>
                <xdr:rowOff>8</xdr:rowOff>
              </xdr:from>
              <xdr:to>
                <xdr:col>23</xdr:col>
                <xdr:colOff>40</xdr:colOff>
                <xdr:row>339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<sst xmlns="http://schemas.openxmlformats.org/spreadsheetml/2006/main" count="5275" uniqueCount="545">
  <si>
    <t xml:space="preserve">Transwestern Pipeline Company</t>
  </si>
  <si>
    <t xml:space="preserve">Current Estimate Supply data for Weekly</t>
  </si>
  <si>
    <t xml:space="preserve">Current Month Forecast =</t>
  </si>
  <si>
    <t xml:space="preserve">October</t>
  </si>
  <si>
    <t xml:space="preserve">Transport</t>
  </si>
  <si>
    <t xml:space="preserve">Volume</t>
  </si>
  <si>
    <t xml:space="preserve">Margin</t>
  </si>
  <si>
    <t xml:space="preserve">Function formula - no more than seven functions can be nested, therefore I copied the formula into a label format to add in later months.</t>
  </si>
  <si>
    <t xml:space="preserve">(MMMBTU/DAY)</t>
  </si>
  <si>
    <t xml:space="preserve">$MM</t>
  </si>
  <si>
    <t xml:space="preserve">Just MOVE to entire formula!!!!!</t>
  </si>
  <si>
    <t xml:space="preserve">WEST</t>
  </si>
  <si>
    <t xml:space="preserve">WEST:  THOREAU</t>
  </si>
  <si>
    <t xml:space="preserve">Volume Formula</t>
  </si>
  <si>
    <t xml:space="preserve">    DEMAND </t>
  </si>
  <si>
    <t xml:space="preserve">=IF($B$5=Forecast01!$B$10,Forecast01!B14,IF($B$5=Forecast01!$C$10,Forecast01!C14,IF($B$5=Forecast01!$D$10,Forecast01!D14,IF($B$5=Forecast01!$E$10,Forecast01!E14,IF($B$5=Forecast01!$F$10,Forecast01!F14,IF($B$5=Forecast01!$G$10,Forecast01!G14,IF($B$5=Foreca</t>
  </si>
  <si>
    <t xml:space="preserve">   SETTLEMENT SURCHARGE</t>
  </si>
  <si>
    <t xml:space="preserve">Need to update formulas to reflect move of this sheet from Model_source_plan_data file to this System_Design file.</t>
  </si>
  <si>
    <t xml:space="preserve">    FTS</t>
  </si>
  <si>
    <t xml:space="preserve">margin Formula</t>
  </si>
  <si>
    <t xml:space="preserve">    FR</t>
  </si>
  <si>
    <t xml:space="preserve">=IF($B$5=Forecast01!$B$10,Forecast01!B188,IF($B$5=Forecast01!$C$10,Forecast01!C188,IF($B$5=Forecast01!$D$10,Forecast01!D188,IF($B$5=Forecast01!$E$10,Forecast01!E188,IF($B$5=Forecast01!$F$10,Forecast01!F188,IF($B$5=Forecast01!$G$10,Forecast01!G188,IF($B$5=</t>
  </si>
  <si>
    <t xml:space="preserve">    ITS</t>
  </si>
  <si>
    <t xml:space="preserve">    TOTAL THOREAU TO WEST</t>
  </si>
  <si>
    <t xml:space="preserve">WEST: EAST OF THOREAU</t>
  </si>
  <si>
    <t xml:space="preserve">   LFT</t>
  </si>
  <si>
    <t xml:space="preserve">    TOTAL EAST OF THOREAU TO WEST</t>
  </si>
  <si>
    <t xml:space="preserve">WEST: IGNACIO</t>
  </si>
  <si>
    <t xml:space="preserve">    TOTAL IGNACIO TO WEST</t>
  </si>
  <si>
    <t xml:space="preserve">WEST: SAN JUAN</t>
  </si>
  <si>
    <t xml:space="preserve">    LFT--San Juan</t>
  </si>
  <si>
    <t xml:space="preserve">    TOTAL SAN JUAN TO WEST</t>
  </si>
  <si>
    <t xml:space="preserve">         SUBTOTAL WEST DEMAND</t>
  </si>
  <si>
    <t xml:space="preserve">         SUBTOTAL WEST COMMODITY</t>
  </si>
  <si>
    <t xml:space="preserve">TOTAL WEST</t>
  </si>
  <si>
    <t xml:space="preserve">EAST</t>
  </si>
  <si>
    <t xml:space="preserve">EAST: WEST OF THOREAU and Thoreau</t>
  </si>
  <si>
    <t xml:space="preserve">    TOTAL THOREAU TO EAST</t>
  </si>
  <si>
    <t xml:space="preserve">EAST: EAST TO EAST</t>
  </si>
  <si>
    <t xml:space="preserve">    PNR-East of Thoreau</t>
  </si>
  <si>
    <t xml:space="preserve">    TOTAL EAST TO EAST</t>
  </si>
  <si>
    <t xml:space="preserve">EAST: IGNACIO</t>
  </si>
  <si>
    <t xml:space="preserve">    TOTAL IGNACIO TO EAST</t>
  </si>
  <si>
    <t xml:space="preserve">EAST: SAN JUAN</t>
  </si>
  <si>
    <t xml:space="preserve">    TOTAL SAN JUAN TO EAST</t>
  </si>
  <si>
    <t xml:space="preserve">         SUBTOTAL EAST DEMAND</t>
  </si>
  <si>
    <t xml:space="preserve">         SUBTOTAL EAST COMMODITY</t>
  </si>
  <si>
    <t xml:space="preserve">TOTAL EAST</t>
  </si>
  <si>
    <t xml:space="preserve">IGNACIO/BLANCO</t>
  </si>
  <si>
    <t xml:space="preserve">IGNACIO TO BLANCO HUB</t>
  </si>
  <si>
    <t xml:space="preserve">     TOTAL IGNACIO TO BLANCO HUB</t>
  </si>
  <si>
    <t xml:space="preserve">IGNACIO TO EL PASO BLANCO</t>
  </si>
  <si>
    <t xml:space="preserve">     TOTAL IGNACIO TO EP BLANCO</t>
  </si>
  <si>
    <t xml:space="preserve">         SUBTOTAL IGNACIO DEMAND</t>
  </si>
  <si>
    <t xml:space="preserve">         SUBTOTAL IGNACIO COMMODITY</t>
  </si>
  <si>
    <t xml:space="preserve">TOTAL IGNACIO</t>
  </si>
  <si>
    <t xml:space="preserve">SAN JUAN</t>
  </si>
  <si>
    <t xml:space="preserve">SAN JUAN TO THOREAU:</t>
  </si>
  <si>
    <t xml:space="preserve">   FR</t>
  </si>
  <si>
    <t xml:space="preserve">      SUBTOTAL SAN JUAN DEMAND</t>
  </si>
  <si>
    <t xml:space="preserve">      SUBTOTAL SAN JUAN COMMODITY</t>
  </si>
  <si>
    <t xml:space="preserve">TOTAL SAN JUAN</t>
  </si>
  <si>
    <t xml:space="preserve">COMPANY TOTAL</t>
  </si>
  <si>
    <t xml:space="preserve">    PNR</t>
  </si>
  <si>
    <t xml:space="preserve">    LFT</t>
  </si>
  <si>
    <t xml:space="preserve">TOTAL COMPANY DEMAND</t>
  </si>
  <si>
    <t xml:space="preserve">TOTAL COMPANY COMMODITY</t>
  </si>
  <si>
    <t xml:space="preserve">TOTAL COMPANY</t>
  </si>
  <si>
    <t xml:space="preserve">MARGIN CALCULATION</t>
  </si>
  <si>
    <t xml:space="preserve">COST OF TRANSPORT:</t>
  </si>
  <si>
    <t xml:space="preserve">TCR  AMORTIZATION EXPENSE </t>
  </si>
  <si>
    <t xml:space="preserve">UAF</t>
  </si>
  <si>
    <t xml:space="preserve">GRI,ACA EXPENSE</t>
  </si>
  <si>
    <t xml:space="preserve">NET FUEL EXPENSE (RETAINED)</t>
  </si>
  <si>
    <t xml:space="preserve">TOTAL COST OF TRANSPORT</t>
  </si>
  <si>
    <t xml:space="preserve">Plan Index Price</t>
  </si>
  <si>
    <t xml:space="preserve">FUEL USED VOLUME</t>
  </si>
  <si>
    <t xml:space="preserve">PLAN STRETCH PER MONTH</t>
  </si>
  <si>
    <t xml:space="preserve">MONTHLY UNHEDGED FUEL SALES</t>
  </si>
  <si>
    <t xml:space="preserve">    Unhedged Fuel Sale - Volume 1</t>
  </si>
  <si>
    <t xml:space="preserve">    Unhedged Fuel Sale - Days</t>
  </si>
  <si>
    <t xml:space="preserve">    Unhedged Fuel Sale - Rate</t>
  </si>
  <si>
    <t xml:space="preserve">CE: Fuel Retained Adjustment for vols. Btw. Topock &amp; Needles</t>
  </si>
  <si>
    <t xml:space="preserve">April fuel volume adjustment to </t>
  </si>
  <si>
    <t xml:space="preserve">DAYS OF MONTH</t>
  </si>
  <si>
    <t xml:space="preserve">TRANSWESTERN PIPELINE COMPANY</t>
  </si>
  <si>
    <t xml:space="preserve">2001 FORECAST</t>
  </si>
  <si>
    <t xml:space="preserve">MARGIN SUMMARY</t>
  </si>
  <si>
    <t xml:space="preserve">Actual</t>
  </si>
  <si>
    <t xml:space="preserve">9/7 Weekly</t>
  </si>
  <si>
    <t xml:space="preserve">Forecast</t>
  </si>
  <si>
    <t xml:space="preserve">1st Qtr</t>
  </si>
  <si>
    <t xml:space="preserve">2nd Qtr</t>
  </si>
  <si>
    <t xml:space="preserve">3rd Qtr</t>
  </si>
  <si>
    <t xml:space="preserve">4th Qtr</t>
  </si>
  <si>
    <t xml:space="preserve">2001 Annual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</si>
  <si>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</si>
  <si>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</si>
  <si>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</si>
  <si>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</si>
  <si>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</si>
  <si>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</si>
  <si>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</si>
  <si>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</si>
  <si>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</si>
  <si>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</si>
  <si>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</si>
  <si>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TOTAL</t>
  </si>
  <si>
    <t xml:space="preserve">TSPT VOLUME (MMMBTU/DAY)</t>
  </si>
  <si>
    <t xml:space="preserve">WEST: THOREAU</t>
  </si>
  <si>
    <t xml:space="preserve">    FTS </t>
  </si>
  <si>
    <t xml:space="preserve">    FR </t>
  </si>
  <si>
    <t xml:space="preserve">    ITS  (incl.West of Thoreau)</t>
  </si>
  <si>
    <t xml:space="preserve">WEST: EAST OF THOREAU </t>
  </si>
  <si>
    <t xml:space="preserve">    ITS </t>
  </si>
  <si>
    <t xml:space="preserve">WEST:  SAN JUAN</t>
  </si>
  <si>
    <t xml:space="preserve">TOTAL TRANSPORT WEST</t>
  </si>
  <si>
    <t xml:space="preserve">TOTAL DEMAND WEST</t>
  </si>
  <si>
    <t xml:space="preserve">Load Factor</t>
  </si>
  <si>
    <t xml:space="preserve">TOTAL TRANSPORT EAST</t>
  </si>
  <si>
    <t xml:space="preserve">TOTAL DEMAND EAST</t>
  </si>
  <si>
    <t xml:space="preserve">    DEMAND</t>
  </si>
  <si>
    <t xml:space="preserve">     TOTAL IGNACIO TO EL PASO BLANCO</t>
  </si>
  <si>
    <t xml:space="preserve">TOTAL TRANSPORT IGNACIO/BLANCO</t>
  </si>
  <si>
    <t xml:space="preserve">TOTAL DEMAND IGNACIO/BLANCO</t>
  </si>
  <si>
    <t xml:space="preserve">THOREAU:  SAN JUAN</t>
  </si>
  <si>
    <t xml:space="preserve">TOTAL TRANSPORT SAN JUAN</t>
  </si>
  <si>
    <t xml:space="preserve">TOTAL SAN JUAN DEMAND</t>
  </si>
  <si>
    <t xml:space="preserve">     (Total Lateral Demand)</t>
  </si>
  <si>
    <t xml:space="preserve">TOTAL COMPANY THROUGHPUT</t>
  </si>
  <si>
    <t xml:space="preserve">FUEL RETAINAGE (production month)</t>
  </si>
  <si>
    <t xml:space="preserve">FUEL USE (production month)</t>
  </si>
  <si>
    <t xml:space="preserve">GAS PRICE</t>
  </si>
  <si>
    <t xml:space="preserve">TSPT MARGIN  PER  MMBTU</t>
  </si>
  <si>
    <t xml:space="preserve">WEST: THOREAU </t>
  </si>
  <si>
    <t xml:space="preserve">WEST:  IGNACIO</t>
  </si>
  <si>
    <t xml:space="preserve">EAST:  WEST OF THOREAU </t>
  </si>
  <si>
    <t xml:space="preserve">EAST:  EAST TO EAST</t>
  </si>
  <si>
    <t xml:space="preserve">EAST:  IGNACIO TO EAST</t>
  </si>
  <si>
    <t xml:space="preserve">TSPT REVENUE </t>
  </si>
  <si>
    <t xml:space="preserve">SW Gas Paym</t>
  </si>
  <si>
    <t xml:space="preserve">SANTA FE SETTLEMENT</t>
  </si>
  <si>
    <t xml:space="preserve">Hedging</t>
  </si>
  <si>
    <t xml:space="preserve">Alternate Receipt points reserve reversal</t>
  </si>
  <si>
    <t xml:space="preserve">Forecast Adjustment</t>
  </si>
  <si>
    <t xml:space="preserve">TOTAL GROSS MARGIN</t>
  </si>
  <si>
    <t xml:space="preserve">COMMODITY SURCHARGES</t>
  </si>
  <si>
    <t xml:space="preserve">MONTH</t>
  </si>
  <si>
    <t xml:space="preserve">QUARTER</t>
  </si>
  <si>
    <t xml:space="preserve">GRI SURCHARGE - ALL REGIONS</t>
  </si>
  <si>
    <t xml:space="preserve">ACA SURCHARGE - ALL REGIONS</t>
  </si>
  <si>
    <t xml:space="preserve">TOTAL COMMODITY SURCHARGES</t>
  </si>
  <si>
    <t xml:space="preserve">COMMODITY REVENUE</t>
  </si>
  <si>
    <t xml:space="preserve">COMMODITY MARGIN</t>
  </si>
  <si>
    <t xml:space="preserve">SHARED COST SETTLEMENT SURCHARGE</t>
  </si>
  <si>
    <t xml:space="preserve">     THOREAU TO WEST OF THOREAU</t>
  </si>
  <si>
    <t xml:space="preserve">     EAST OF THOR. TO WEST OF THOR.</t>
  </si>
  <si>
    <t xml:space="preserve">TOTAL SETTLEMENT SURCHARGES</t>
  </si>
  <si>
    <t xml:space="preserve">DEMAND SURCHARGES</t>
  </si>
  <si>
    <t xml:space="preserve">GRI</t>
  </si>
  <si>
    <t xml:space="preserve">    WEST OF THOREAU TO EAST </t>
  </si>
  <si>
    <t xml:space="preserve">    EAST TO EAST </t>
  </si>
  <si>
    <t xml:space="preserve">    IGNACIO TO EAST </t>
  </si>
  <si>
    <t xml:space="preserve">    SAN JUAN TO EAST</t>
  </si>
  <si>
    <t xml:space="preserve">    IGNACIO TO BLANCO HUB</t>
  </si>
  <si>
    <t xml:space="preserve">    IGNACIO TO EL PASO BLANCO</t>
  </si>
  <si>
    <t xml:space="preserve">    THOREAU TO WEST</t>
  </si>
  <si>
    <t xml:space="preserve">    SAN JUAN TO WEST</t>
  </si>
  <si>
    <t xml:space="preserve">    EAST OF THOREAU TO WEST</t>
  </si>
  <si>
    <t xml:space="preserve">    SUBTOTAL GRI DEMAND</t>
  </si>
  <si>
    <t xml:space="preserve">TCR II</t>
  </si>
  <si>
    <t xml:space="preserve">   THOREAU TO WEST</t>
  </si>
  <si>
    <t xml:space="preserve">    SUBTOTAL TCR II</t>
  </si>
  <si>
    <t xml:space="preserve">TOTAL DEMAND SURCHARGES</t>
  </si>
  <si>
    <t xml:space="preserve">DEMAND REVENUES</t>
  </si>
  <si>
    <t xml:space="preserve">DEMAND MARGIN</t>
  </si>
  <si>
    <t xml:space="preserve">COMPANY MARGIN (EXCLUDING FUEL &amp; UAF)</t>
  </si>
  <si>
    <t xml:space="preserve">CHECK</t>
  </si>
  <si>
    <t xml:space="preserve">RATES</t>
  </si>
  <si>
    <t xml:space="preserve">SURCHARGE - SJ.TO WOT</t>
  </si>
  <si>
    <t xml:space="preserve">DEMAND RATE PGAR</t>
  </si>
  <si>
    <t xml:space="preserve">DEMAND GRI RATE - high</t>
  </si>
  <si>
    <t xml:space="preserve">DEMAND GRI RATE - low</t>
  </si>
  <si>
    <t xml:space="preserve">ACA</t>
  </si>
  <si>
    <t xml:space="preserve">GRI RATE</t>
  </si>
  <si>
    <t xml:space="preserve">TCR NEEDLES</t>
  </si>
  <si>
    <t xml:space="preserve">TAKE OR PAY SURCHARGE W.T.</t>
  </si>
  <si>
    <t xml:space="preserve">TAKE OR PAY SURCHARGE P.H.</t>
  </si>
  <si>
    <t xml:space="preserve">SURCHARGE - EOT TO WOT</t>
  </si>
  <si>
    <t xml:space="preserve">TOTAL GRI, ACA</t>
  </si>
  <si>
    <t xml:space="preserve">TOTAL TCR, GRI, ACA - NEEDLES</t>
  </si>
  <si>
    <t xml:space="preserve">TOTAL TCR, GRI, ACA - EAST</t>
  </si>
  <si>
    <t xml:space="preserve">FUEL CALCULATION</t>
  </si>
  <si>
    <t xml:space="preserve">FUEL SAN JUAN</t>
  </si>
  <si>
    <t xml:space="preserve">FUEL WEST OF TH/WEST N.M.</t>
  </si>
  <si>
    <t xml:space="preserve">FUEL WEST TEXAS</t>
  </si>
  <si>
    <t xml:space="preserve">FUEL PANHANDLE</t>
  </si>
  <si>
    <t xml:space="preserve">FUEL CENTRAL</t>
  </si>
  <si>
    <t xml:space="preserve">FUEL GROSS UP CALCULATION</t>
  </si>
  <si>
    <t xml:space="preserve">Thoreau to West</t>
  </si>
  <si>
    <t xml:space="preserve">East of Thoreau to West</t>
  </si>
  <si>
    <t xml:space="preserve">San Juan (incl.Ignacio) to West</t>
  </si>
  <si>
    <t xml:space="preserve">All East flow</t>
  </si>
  <si>
    <t xml:space="preserve">San Juan to Thoreau/ Ignacio to Blanco</t>
  </si>
  <si>
    <t xml:space="preserve">Ignacio to El Paso Blanco</t>
  </si>
  <si>
    <t xml:space="preserve">TOTAL FUEL GROSS UP</t>
  </si>
  <si>
    <t xml:space="preserve">LESS FUEL USE</t>
  </si>
  <si>
    <t xml:space="preserve">NET FUEL </t>
  </si>
  <si>
    <t xml:space="preserve">INDEX PRICE</t>
  </si>
  <si>
    <t xml:space="preserve">OTHER</t>
  </si>
  <si>
    <t xml:space="preserve">PGAR Amortization</t>
  </si>
  <si>
    <t xml:space="preserve">Other Expense</t>
  </si>
  <si>
    <t xml:space="preserve">Regulatory Commission</t>
  </si>
  <si>
    <t xml:space="preserve">Total Other Expenses</t>
  </si>
  <si>
    <t xml:space="preserve">Sales Margin/Cost of Sales</t>
  </si>
  <si>
    <t xml:space="preserve">Other Rev/Exp</t>
  </si>
  <si>
    <t xml:space="preserve">Total Other</t>
  </si>
  <si>
    <t xml:space="preserve">Total Net Margins(Row 309) +Other</t>
  </si>
  <si>
    <t xml:space="preserve">Accounting Transport Margin+Sales/Cost of Sales</t>
  </si>
  <si>
    <t xml:space="preserve">Difference</t>
  </si>
  <si>
    <t xml:space="preserve">1998 - 2000  PLAN</t>
  </si>
  <si>
    <t xml:space="preserve">AVERAGE RATES</t>
  </si>
  <si>
    <t xml:space="preserve">PAGE 3</t>
  </si>
  <si>
    <t xml:space="preserve">Vol</t>
  </si>
  <si>
    <t xml:space="preserve">Amount</t>
  </si>
  <si>
    <t xml:space="preserve">Rate</t>
  </si>
  <si>
    <t xml:space="preserve">San Juan going West:</t>
  </si>
  <si>
    <t xml:space="preserve">    Ignacio (San Juan II and III exp.)  Demand only</t>
  </si>
  <si>
    <t xml:space="preserve">    San Juan  - without expansion II</t>
  </si>
  <si>
    <t xml:space="preserve">                       - expansion only (Demand)</t>
  </si>
  <si>
    <t xml:space="preserve">San Juan going East (incl.Demand and Comm)</t>
  </si>
  <si>
    <t xml:space="preserve">East</t>
  </si>
  <si>
    <t xml:space="preserve">UAF Analysis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</si>
  <si>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</si>
  <si>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</si>
  <si>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</si>
  <si>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</si>
  <si>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</si>
  <si>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</si>
  <si>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</si>
  <si>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</si>
  <si>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</si>
  <si>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</si>
  <si>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</si>
  <si>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</si>
  <si>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2001 Forecast</t>
  </si>
  <si>
    <t xml:space="preserve">All Commodity Deliveries per Fin. Planning Model</t>
  </si>
  <si>
    <t xml:space="preserve">Deliveries by Applicable Fuel Percent:</t>
  </si>
  <si>
    <t xml:space="preserve">   East to West (5%)</t>
  </si>
  <si>
    <t xml:space="preserve">   Thor to West (4.5%)</t>
  </si>
  <si>
    <t xml:space="preserve">   IG/SJ to West (4.75%)</t>
  </si>
  <si>
    <t xml:space="preserve">   IG to EP Blanco (.25%)</t>
  </si>
  <si>
    <t xml:space="preserve">   IG to Blanco Hub and SJ to Thor (.25%)</t>
  </si>
  <si>
    <t xml:space="preserve">   IG/SJ to East (1.56%)</t>
  </si>
  <si>
    <t xml:space="preserve">   East to East (1.31%)</t>
  </si>
  <si>
    <t xml:space="preserve">Fuel Percentages</t>
  </si>
  <si>
    <t xml:space="preserve">Calculated Receipts (Daily)</t>
  </si>
  <si>
    <t xml:space="preserve">   East to West </t>
  </si>
  <si>
    <t xml:space="preserve">   Thor to West </t>
  </si>
  <si>
    <t xml:space="preserve">   IG/SJ to West </t>
  </si>
  <si>
    <t xml:space="preserve">   IG to EP Blanco </t>
  </si>
  <si>
    <t xml:space="preserve">   IG to Blanco Hub and SJ to Thor </t>
  </si>
  <si>
    <t xml:space="preserve">   IG/SJ to East </t>
  </si>
  <si>
    <t xml:space="preserve">   East to East </t>
  </si>
  <si>
    <t xml:space="preserve">Total Daily Receipts</t>
  </si>
  <si>
    <t xml:space="preserve">Back off:</t>
  </si>
  <si>
    <t xml:space="preserve">   San Juan to Thoreau Delivery Volumes</t>
  </si>
  <si>
    <t xml:space="preserve">   Ignacio to Hub Delivery Volumes</t>
  </si>
  <si>
    <t xml:space="preserve">Adjusted Total Daily Receipts</t>
  </si>
  <si>
    <t xml:space="preserve">Total Monthly Receipts</t>
  </si>
  <si>
    <r>
      <rPr>
        <u val="single"/>
        <sz val="10"/>
        <rFont val="Arial"/>
        <family val="2"/>
      </rPr>
      <t xml:space="preserve">Calculated</t>
    </r>
    <r>
      <rPr>
        <b val="true"/>
        <u val="single"/>
        <sz val="10"/>
        <rFont val="Arial"/>
        <family val="2"/>
      </rPr>
      <t xml:space="preserve"> Retainage</t>
    </r>
    <r>
      <rPr>
        <u val="single"/>
        <sz val="10"/>
        <rFont val="Arial"/>
        <family val="2"/>
      </rPr>
      <t xml:space="preserve"> (Daily)</t>
    </r>
  </si>
  <si>
    <t xml:space="preserve">   IG to Hub and SJ to Thor (.25%)</t>
  </si>
  <si>
    <t xml:space="preserve">Total Daily Retainage</t>
  </si>
  <si>
    <t xml:space="preserve">Fuel Used (Calculated on Deliveries)</t>
  </si>
  <si>
    <t xml:space="preserve">UAF Operations</t>
  </si>
  <si>
    <t xml:space="preserve">UAF Accounting</t>
  </si>
  <si>
    <t xml:space="preserve">Total Retained $</t>
  </si>
  <si>
    <t xml:space="preserve">Less: Adjustment for Hedging (20/d)</t>
  </si>
  <si>
    <t xml:space="preserve">Additional Revenue from Selling Hedged Volumes</t>
  </si>
  <si>
    <t xml:space="preserve">Less: Fuel Used</t>
  </si>
  <si>
    <t xml:space="preserve">UAF Price Differential</t>
  </si>
  <si>
    <t xml:space="preserve">Less: UAF Operations</t>
  </si>
  <si>
    <t xml:space="preserve">Less: UAF Accounting</t>
  </si>
  <si>
    <t xml:space="preserve">  Total Fuel Upside</t>
  </si>
  <si>
    <t xml:space="preserve">Unhedged Price</t>
  </si>
  <si>
    <t xml:space="preserve">UAF %  Operations</t>
  </si>
  <si>
    <t xml:space="preserve">UAF %  Accounting</t>
  </si>
  <si>
    <t xml:space="preserve">UAF Price</t>
  </si>
  <si>
    <t xml:space="preserve">Burned %  (Calculated on Deliveries)</t>
  </si>
  <si>
    <t xml:space="preserve">Hedged Volumes</t>
  </si>
  <si>
    <t xml:space="preserve">Unhedged Volumes</t>
  </si>
  <si>
    <t xml:space="preserve">Less: Total UAF</t>
  </si>
  <si>
    <t xml:space="preserve">Revised Total Fuel Upside</t>
  </si>
  <si>
    <t xml:space="preserve">2001 Plan Total Fuel Upside</t>
  </si>
  <si>
    <t xml:space="preserve">Revised Plan Adjustment taken against unhedged</t>
  </si>
  <si>
    <t xml:space="preserve">Factor being used</t>
  </si>
  <si>
    <t xml:space="preserve">UAF Volume</t>
  </si>
  <si>
    <t xml:space="preserve">Price</t>
  </si>
  <si>
    <t xml:space="preserve">UAF Dollar</t>
  </si>
  <si>
    <t xml:space="preserve">2001 Plan UAF Calculation</t>
  </si>
  <si>
    <t xml:space="preserve">Excess Fuel Volumes</t>
  </si>
  <si>
    <t xml:space="preserve">Hedged volumes</t>
  </si>
  <si>
    <t xml:space="preserve">Unhedged Volumes available</t>
  </si>
  <si>
    <t xml:space="preserve">Average</t>
  </si>
  <si>
    <t xml:space="preserve">FUEL BURNED ASSUMING 100% EAST RETAINAGE BURNT</t>
  </si>
  <si>
    <t xml:space="preserve">Retainage Monthly MMBTU</t>
  </si>
  <si>
    <t xml:space="preserve">EAST Retainage</t>
  </si>
  <si>
    <t xml:space="preserve">WEST Retainage</t>
  </si>
  <si>
    <t xml:space="preserve">Total Retainage</t>
  </si>
  <si>
    <t xml:space="preserve">Deliveries MMBTU/Day</t>
  </si>
  <si>
    <t xml:space="preserve">East Deliveries</t>
  </si>
  <si>
    <t xml:space="preserve">West Deliveries</t>
  </si>
  <si>
    <t xml:space="preserve">Burned Alternate Method Monthly MMBTU</t>
  </si>
  <si>
    <t xml:space="preserve">East 100% of Retainage</t>
  </si>
  <si>
    <t xml:space="preserve">West(.018 of Deliveries) or Actals per Fac Plng</t>
  </si>
  <si>
    <t xml:space="preserve">Burned .018 Of Deliveries-Old method</t>
  </si>
  <si>
    <t xml:space="preserve">Difference Alt Method and Old Method MMBTU</t>
  </si>
  <si>
    <t xml:space="preserve">Fuel Index Price</t>
  </si>
  <si>
    <t xml:space="preserve">Difference Alt Method and Old Method  $</t>
  </si>
  <si>
    <t xml:space="preserve">West Percent Of deliveries</t>
  </si>
  <si>
    <t xml:space="preserve">Fuel Used per accounting</t>
  </si>
  <si>
    <t xml:space="preserve">2000 2 C.E.</t>
  </si>
  <si>
    <t xml:space="preserve">2001 Plan</t>
  </si>
  <si>
    <t xml:space="preserve">Surcharge expires 10/31/00</t>
  </si>
  <si>
    <t xml:space="preserve">Resub./stretch</t>
  </si>
  <si>
    <t xml:space="preserve">One-part rate</t>
  </si>
  <si>
    <t xml:space="preserve">Sept</t>
  </si>
  <si>
    <t xml:space="preserve">Decrease</t>
  </si>
  <si>
    <t xml:space="preserve">Comm</t>
  </si>
  <si>
    <t xml:space="preserve">Commodity</t>
  </si>
  <si>
    <t xml:space="preserve">commodity</t>
  </si>
  <si>
    <t xml:space="preserve">Volume/</t>
  </si>
  <si>
    <t xml:space="preserve">Demand</t>
  </si>
  <si>
    <t xml:space="preserve">One Part</t>
  </si>
  <si>
    <t xml:space="preserve">Area</t>
  </si>
  <si>
    <t xml:space="preserve">Path</t>
  </si>
  <si>
    <t xml:space="preserve">Type</t>
  </si>
  <si>
    <t xml:space="preserve">Contract</t>
  </si>
  <si>
    <t xml:space="preserve">Shipper</t>
  </si>
  <si>
    <t xml:space="preserve">Start Date</t>
  </si>
  <si>
    <t xml:space="preserve">Term. Date</t>
  </si>
  <si>
    <t xml:space="preserve">MDQ</t>
  </si>
  <si>
    <t xml:space="preserve">Rate?</t>
  </si>
  <si>
    <t xml:space="preserve">West</t>
  </si>
  <si>
    <t xml:space="preserve">EOT to WOT</t>
  </si>
  <si>
    <t xml:space="preserve">KN Marketing</t>
  </si>
  <si>
    <t xml:space="preserve">y</t>
  </si>
  <si>
    <t xml:space="preserve">Sempra</t>
  </si>
  <si>
    <t xml:space="preserve">SWG</t>
  </si>
  <si>
    <t xml:space="preserve">11/15/2000</t>
  </si>
  <si>
    <t xml:space="preserve">Agave</t>
  </si>
  <si>
    <t xml:space="preserve">SoCal</t>
  </si>
  <si>
    <t xml:space="preserve">n</t>
  </si>
  <si>
    <t xml:space="preserve">PG&amp;E</t>
  </si>
  <si>
    <t xml:space="preserve">OneOK</t>
  </si>
  <si>
    <t xml:space="preserve">2/1/2001</t>
  </si>
  <si>
    <t xml:space="preserve">APS</t>
  </si>
  <si>
    <t xml:space="preserve">Duke</t>
  </si>
  <si>
    <t xml:space="preserve">Rescribed</t>
  </si>
  <si>
    <t xml:space="preserve">Reliant</t>
  </si>
  <si>
    <t xml:space="preserve">Tenaska</t>
  </si>
  <si>
    <t xml:space="preserve">Daily Firm</t>
  </si>
  <si>
    <t xml:space="preserve">Mavrix</t>
  </si>
  <si>
    <t xml:space="preserve">Load Factor by Month for EOT to WOT</t>
  </si>
  <si>
    <t xml:space="preserve">OUTAGES</t>
  </si>
  <si>
    <t xml:space="preserve">Est by TK Lohman</t>
  </si>
  <si>
    <t xml:space="preserve">Unsubscribed</t>
  </si>
  <si>
    <t xml:space="preserve">IT</t>
  </si>
  <si>
    <t xml:space="preserve">Shared Cost Surcharge</t>
  </si>
  <si>
    <t xml:space="preserve">GRI Demand Surcharge</t>
  </si>
  <si>
    <t xml:space="preserve">GRI Dem. Adj.</t>
  </si>
  <si>
    <t xml:space="preserve">Thoreau to WOT</t>
  </si>
  <si>
    <t xml:space="preserve">Texaco</t>
  </si>
  <si>
    <t xml:space="preserve">CFS Rate</t>
  </si>
  <si>
    <t xml:space="preserve">Conoco</t>
  </si>
  <si>
    <t xml:space="preserve">Citizens</t>
  </si>
  <si>
    <t xml:space="preserve">El Paso (PG&amp;E Release)</t>
  </si>
  <si>
    <t xml:space="preserve">North Star Steel Co.</t>
  </si>
  <si>
    <t xml:space="preserve">Duke (PG&amp;E Release)</t>
  </si>
  <si>
    <t xml:space="preserve">Load Factor by month for Thoreau to WOT</t>
  </si>
  <si>
    <t xml:space="preserve">Santa Fe/Texaco</t>
  </si>
  <si>
    <t xml:space="preserve">San Juan to WOT</t>
  </si>
  <si>
    <t xml:space="preserve">SMUD</t>
  </si>
  <si>
    <t xml:space="preserve">4/31/2007</t>
  </si>
  <si>
    <t xml:space="preserve">Special Calc</t>
  </si>
  <si>
    <t xml:space="preserve">Amoco</t>
  </si>
  <si>
    <t xml:space="preserve">y-Nov. rate change</t>
  </si>
  <si>
    <t xml:space="preserve">y </t>
  </si>
  <si>
    <t xml:space="preserve">Engage</t>
  </si>
  <si>
    <t xml:space="preserve">North Star</t>
  </si>
  <si>
    <t xml:space="preserve">TXU</t>
  </si>
  <si>
    <t xml:space="preserve">Southern</t>
  </si>
  <si>
    <t xml:space="preserve">El Paso</t>
  </si>
  <si>
    <t xml:space="preserve">Est by Tk Lohman</t>
  </si>
  <si>
    <t xml:space="preserve">Dynegy</t>
  </si>
  <si>
    <t xml:space="preserve">Load Factor by month for San Juan to WOT</t>
  </si>
  <si>
    <t xml:space="preserve">?</t>
  </si>
  <si>
    <t xml:space="preserve"> </t>
  </si>
  <si>
    <t xml:space="preserve">Ignacio to WOT</t>
  </si>
  <si>
    <t xml:space="preserve">Load factor by month</t>
  </si>
  <si>
    <t xml:space="preserve">San Juan</t>
  </si>
  <si>
    <t xml:space="preserve">San Juan to Thoreau</t>
  </si>
  <si>
    <t xml:space="preserve">Special Calc.</t>
  </si>
  <si>
    <t xml:space="preserve">Santa Fe</t>
  </si>
  <si>
    <t xml:space="preserve">Load Factor by month</t>
  </si>
  <si>
    <t xml:space="preserve">Ignacio</t>
  </si>
  <si>
    <t xml:space="preserve">Ignacio to Blanco</t>
  </si>
  <si>
    <t xml:space="preserve">Burlington  </t>
  </si>
  <si>
    <t xml:space="preserve">SoCalGas</t>
  </si>
  <si>
    <t xml:space="preserve">ECT</t>
  </si>
  <si>
    <t xml:space="preserve">Pan Alberta </t>
  </si>
  <si>
    <t xml:space="preserve">Williams </t>
  </si>
  <si>
    <t xml:space="preserve">PNM </t>
  </si>
  <si>
    <t xml:space="preserve">Assumed Resubscription</t>
  </si>
  <si>
    <t xml:space="preserve">Load Factor by Month</t>
  </si>
  <si>
    <t xml:space="preserve">Ignacio to EP Blanco</t>
  </si>
  <si>
    <t xml:space="preserve">Phillips</t>
  </si>
  <si>
    <t xml:space="preserve">Vastar</t>
  </si>
  <si>
    <t xml:space="preserve">Williams</t>
  </si>
  <si>
    <t xml:space="preserve">BP Energy</t>
  </si>
  <si>
    <t xml:space="preserve">New</t>
  </si>
  <si>
    <t xml:space="preserve">Resubscribed</t>
  </si>
  <si>
    <t xml:space="preserve">Red Cedar</t>
  </si>
  <si>
    <t xml:space="preserve">                    </t>
  </si>
  <si>
    <t xml:space="preserve">GRI volumes</t>
  </si>
  <si>
    <t xml:space="preserve">East to East</t>
  </si>
  <si>
    <t xml:space="preserve">PNM (*Season)</t>
  </si>
  <si>
    <t xml:space="preserve">Special Calc. 1 part</t>
  </si>
  <si>
    <t xml:space="preserve">24198*SC</t>
  </si>
  <si>
    <t xml:space="preserve">Richardson</t>
  </si>
  <si>
    <t xml:space="preserve">Continental</t>
  </si>
  <si>
    <t xml:space="preserve">E.New Mexico</t>
  </si>
  <si>
    <t xml:space="preserve">Burlington</t>
  </si>
  <si>
    <t xml:space="preserve">27137/NS</t>
  </si>
  <si>
    <t xml:space="preserve">USGT</t>
  </si>
  <si>
    <t xml:space="preserve">26490***</t>
  </si>
  <si>
    <t xml:space="preserve">New Mexico Natural</t>
  </si>
  <si>
    <t xml:space="preserve">PNM  </t>
  </si>
  <si>
    <t xml:space="preserve">W TX Gas</t>
  </si>
  <si>
    <t xml:space="preserve">Astra Power</t>
  </si>
  <si>
    <t xml:space="preserve">Bass </t>
  </si>
  <si>
    <t xml:space="preserve">25% load factor for this contract</t>
  </si>
  <si>
    <t xml:space="preserve">Ignacio to East</t>
  </si>
  <si>
    <t xml:space="preserve">SJ (1) Exp</t>
  </si>
  <si>
    <t xml:space="preserve">Special Calc:1 -part</t>
  </si>
  <si>
    <t xml:space="preserve">Emerald Gas</t>
  </si>
  <si>
    <t xml:space="preserve">Load Factors by Month</t>
  </si>
  <si>
    <t xml:space="preserve">San Juan to East</t>
  </si>
  <si>
    <t xml:space="preserve">Valero</t>
  </si>
  <si>
    <t xml:space="preserve">SJ(1) Exp </t>
  </si>
  <si>
    <t xml:space="preserve">Max Rates</t>
  </si>
  <si>
    <t xml:space="preserve">SJ(1) Exp</t>
  </si>
  <si>
    <t xml:space="preserve">Accounting Date</t>
  </si>
  <si>
    <t xml:space="preserve">Type Code - Inv</t>
  </si>
  <si>
    <t xml:space="preserve">Receipt Area Code</t>
  </si>
  <si>
    <t xml:space="preserve">Delivery Area Code</t>
  </si>
  <si>
    <t xml:space="preserve">Volume (MMBTU - Sum)</t>
  </si>
  <si>
    <t xml:space="preserve">MMBTU</t>
  </si>
  <si>
    <t xml:space="preserve">Invoice Amount </t>
  </si>
  <si>
    <t xml:space="preserve">TRN</t>
  </si>
  <si>
    <t xml:space="preserve">E. THOREAU  </t>
  </si>
  <si>
    <t xml:space="preserve">MSC</t>
  </si>
  <si>
    <t xml:space="preserve">SAN JUAN    </t>
  </si>
  <si>
    <t xml:space="preserve">THOREAU     </t>
  </si>
  <si>
    <t xml:space="preserve">W. THOREAU  </t>
  </si>
  <si>
    <t xml:space="preserve">GLOBAL      </t>
  </si>
  <si>
    <t xml:space="preserve">Sum:</t>
  </si>
  <si>
    <t xml:space="preserve">2001 Plan Preparation</t>
  </si>
  <si>
    <t xml:space="preserve">Load Factor Analysis</t>
  </si>
  <si>
    <t xml:space="preserve">YTD Totals</t>
  </si>
  <si>
    <t xml:space="preserve">Three Yr. Avg.</t>
  </si>
  <si>
    <t xml:space="preserve">DEMAND </t>
  </si>
  <si>
    <t xml:space="preserve">FTS</t>
  </si>
  <si>
    <t xml:space="preserve">Total West</t>
  </si>
  <si>
    <t xml:space="preserve">EAST: WEST OF THOREAU</t>
  </si>
  <si>
    <t xml:space="preserve">Total East</t>
  </si>
  <si>
    <t xml:space="preserve">Transwestern Pipeline Company - 2001 Plan</t>
  </si>
  <si>
    <t xml:space="preserve">Terminated Contracts--Margin Impact</t>
  </si>
  <si>
    <t xml:space="preserve">Volume/Margin</t>
  </si>
  <si>
    <t xml:space="preserve">Duke Energy(*season)</t>
  </si>
  <si>
    <t xml:space="preserve">25569/NS</t>
  </si>
  <si>
    <t xml:space="preserve">Southern Company</t>
  </si>
  <si>
    <t xml:space="preserve">Fuel Component of Terminations</t>
  </si>
  <si>
    <t xml:space="preserve">Thorea West</t>
  </si>
  <si>
    <t xml:space="preserve">San Juan West</t>
  </si>
  <si>
    <t xml:space="preserve">IG to WOT</t>
  </si>
  <si>
    <t xml:space="preserve">EOT To WOT</t>
  </si>
  <si>
    <t xml:space="preserve">IG to EP Blanco</t>
  </si>
  <si>
    <t xml:space="preserve">IG to Hub</t>
  </si>
  <si>
    <t xml:space="preserve">San Juan To Thoreau</t>
  </si>
  <si>
    <t xml:space="preserve">  Total West</t>
  </si>
  <si>
    <t xml:space="preserve">East Flows</t>
  </si>
  <si>
    <t xml:space="preserve">East Retention</t>
  </si>
  <si>
    <t xml:space="preserve">  Total Retained - booked</t>
  </si>
  <si>
    <t xml:space="preserve">Fuel Used</t>
  </si>
  <si>
    <t xml:space="preserve">Gallup net fuel adjustement</t>
  </si>
  <si>
    <t xml:space="preserve">Less: UAF</t>
  </si>
  <si>
    <t xml:space="preserve">UAF %</t>
  </si>
  <si>
    <t xml:space="preserve">Burned %</t>
  </si>
  <si>
    <t xml:space="preserve">Stretch</t>
  </si>
  <si>
    <t xml:space="preserve">Resubscribed Contracts--Margin Impact</t>
  </si>
  <si>
    <t xml:space="preserve">new</t>
  </si>
  <si>
    <t xml:space="preserve">Stretch Items--Margin Impact</t>
  </si>
  <si>
    <t xml:space="preserve">.</t>
  </si>
  <si>
    <t xml:space="preserve">USGT Commodity</t>
  </si>
  <si>
    <t xml:space="preserve">------------------------</t>
  </si>
  <si>
    <t xml:space="preserve">Other IT</t>
  </si>
  <si>
    <t xml:space="preserve">IGNACIO</t>
  </si>
  <si>
    <t xml:space="preserve">4,000/day Resub</t>
  </si>
  <si>
    <t xml:space="preserve">Note - IT Total</t>
  </si>
  <si>
    <t xml:space="preserve">Capital--Margin Impact</t>
  </si>
  <si>
    <t xml:space="preserve">EOT-WOT</t>
  </si>
  <si>
    <t xml:space="preserve">2001-2003 OPERATING &amp; STRATEGIC PLAN</t>
  </si>
  <si>
    <t xml:space="preserve">MARGIN ANALYSIS</t>
  </si>
  <si>
    <t xml:space="preserve">Millions of Dollars</t>
  </si>
  <si>
    <t xml:space="preserve">INCREMENTAL CHANGES 2000 to 2001</t>
  </si>
  <si>
    <t xml:space="preserve">Total </t>
  </si>
  <si>
    <t xml:space="preserve">2000 Plan</t>
  </si>
  <si>
    <t xml:space="preserve">1999</t>
  </si>
  <si>
    <t xml:space="preserve">2000</t>
  </si>
  <si>
    <t xml:space="preserve">TERMINATIONS</t>
  </si>
  <si>
    <t xml:space="preserve">NEW</t>
  </si>
  <si>
    <t xml:space="preserve">SHARED COST</t>
  </si>
  <si>
    <t xml:space="preserve">SETTLEMENT</t>
  </si>
  <si>
    <t xml:space="preserve">GRI DEMAND</t>
  </si>
  <si>
    <t xml:space="preserve">2001</t>
  </si>
  <si>
    <t xml:space="preserve">ACTUALS</t>
  </si>
  <si>
    <t xml:space="preserve">3RD CE</t>
  </si>
  <si>
    <t xml:space="preserve">&amp; OTHER</t>
  </si>
  <si>
    <t xml:space="preserve">CONTRACTS</t>
  </si>
  <si>
    <t xml:space="preserve">SURCHARGE</t>
  </si>
  <si>
    <t xml:space="preserve">RATE INCREASE</t>
  </si>
  <si>
    <t xml:space="preserve">RATE DECREASE</t>
  </si>
  <si>
    <t xml:space="preserve">MARGINS</t>
  </si>
  <si>
    <t xml:space="preserve">CAPITAL</t>
  </si>
  <si>
    <t xml:space="preserve">STRETCH</t>
  </si>
  <si>
    <t xml:space="preserve">MARGIN</t>
  </si>
  <si>
    <t xml:space="preserve">subtotal</t>
  </si>
  <si>
    <t xml:space="preserve">FUEL</t>
  </si>
  <si>
    <t xml:space="preserve">(a) Four months of Gallup ($2.8mm)</t>
  </si>
  <si>
    <t xml:space="preserve">       Rate increase of CFS ($1.567mm)</t>
  </si>
  <si>
    <t xml:space="preserve">INCREMENTAL CHANGES 2001 to 2002</t>
  </si>
  <si>
    <t xml:space="preserve">INCREMENTAL CHANGES 2002 to 2003</t>
  </si>
  <si>
    <t xml:space="preserve">Revenue Management</t>
  </si>
  <si>
    <t xml:space="preserve">TOTAL INCLUDING REVENUE MANAGEMENT</t>
  </si>
</sst>
</file>

<file path=xl/styles.xml><?xml version="1.0" encoding="utf-8"?>
<styleSheet xmlns="http://schemas.openxmlformats.org/spreadsheetml/2006/main">
  <numFmts count="48">
    <numFmt numFmtId="164" formatCode="General"/>
    <numFmt numFmtId="165" formatCode="\$#,##0.0000_);&quot;($&quot;#,##0.0000\)"/>
    <numFmt numFmtId="166" formatCode="#,##0.0_);\(#,##0.0\)"/>
    <numFmt numFmtId="167" formatCode="_(\$* #,##0.00_);_(\$* \(#,##0.00\);_(\$* \-??_);_(@_)"/>
    <numFmt numFmtId="168" formatCode="_(* #,##0.0_);_(* \(#,##0.0\);_(* \-?_);_(@_)"/>
    <numFmt numFmtId="169" formatCode="_(* #,##0.00_);_(* \(#,##0.00\);_(* \-?_);_(@_)"/>
    <numFmt numFmtId="170" formatCode="_(\$* #,##0.0000_);_(\$* \(#,##0.0000\);_(\$* \-??_);_(@_)"/>
    <numFmt numFmtId="171" formatCode="_(* #,##0.00_);_(* \(#,##0.00\);_(* \-??_);_(@_)"/>
    <numFmt numFmtId="172" formatCode="_(\$* #,##0_);_(\$* \(#,##0\);_(\$* \-??_);_(@_)"/>
    <numFmt numFmtId="173" formatCode="0_)"/>
    <numFmt numFmtId="174" formatCode="[$-409]#,##0_);\(#,##0\)"/>
    <numFmt numFmtId="175" formatCode="mm/dd/yy_)"/>
    <numFmt numFmtId="176" formatCode="[$-409]m/d/yyyy\ h:mm"/>
    <numFmt numFmtId="177" formatCode="0"/>
    <numFmt numFmtId="178" formatCode="#,##0.0_);[RED]\(#,##0.0\)"/>
    <numFmt numFmtId="179" formatCode="#,##0.000_);\(#,##0.000\)"/>
    <numFmt numFmtId="180" formatCode="_(* #,##0.0_);_(* \(#,##0.0\);_(* \-??_);_(@_)"/>
    <numFmt numFmtId="181" formatCode="\$#,##0.00_);&quot;($&quot;#,##0.00\)"/>
    <numFmt numFmtId="182" formatCode="[$-409]#,##0.00_);\(#,##0.00\)"/>
    <numFmt numFmtId="183" formatCode="_(* #,##0.0000_);_(* \(#,##0.0000\);_(* \-????_);_(@_)"/>
    <numFmt numFmtId="184" formatCode="#,##0.0000_);\(#,##0.0000\)"/>
    <numFmt numFmtId="185" formatCode="\$#,##0_);&quot;($&quot;#,##0\)"/>
    <numFmt numFmtId="186" formatCode="\$#,##0.0_);&quot;($&quot;#,##0.0\)"/>
    <numFmt numFmtId="187" formatCode="0.00"/>
    <numFmt numFmtId="188" formatCode="_(* #,##0.000_);_(* \(#,##0.000\);_(* \-?_);_(@_)"/>
    <numFmt numFmtId="189" formatCode="_(* #,##0.0000_);_(* \(#,##0.0000\);_(* \-?_);_(@_)"/>
    <numFmt numFmtId="190" formatCode="0.000"/>
    <numFmt numFmtId="191" formatCode="0.0"/>
    <numFmt numFmtId="192" formatCode="0%"/>
    <numFmt numFmtId="193" formatCode="0.0000%"/>
    <numFmt numFmtId="194" formatCode="0.0000%;[RED]\-0.0000%"/>
    <numFmt numFmtId="195" formatCode="\$#,##0.0000"/>
    <numFmt numFmtId="196" formatCode="_(* #,##0_);_(* \(#,##0\);_(* \-?_);_(@_)"/>
    <numFmt numFmtId="197" formatCode="_(* #,##0_);_(* \(#,##0\);_(* \-??_);_(@_)"/>
    <numFmt numFmtId="198" formatCode="_(* #,##0.0000_);_(* \(#,##0.0000\);_(* \-??_);_(@_)"/>
    <numFmt numFmtId="199" formatCode="0.0000"/>
    <numFmt numFmtId="200" formatCode="[$-409]#,##0_);[RED]\(#,##0\)"/>
    <numFmt numFmtId="201" formatCode="\$#,##0"/>
    <numFmt numFmtId="202" formatCode="#,##0.000000"/>
    <numFmt numFmtId="203" formatCode="_(* #,##0.000_);_(* \(#,##0.000\);_(* \-??_);_(@_)"/>
    <numFmt numFmtId="204" formatCode="[$-409]m/d/yyyy"/>
    <numFmt numFmtId="205" formatCode="[$-409]mmm\-yy"/>
    <numFmt numFmtId="206" formatCode="0.0%"/>
    <numFmt numFmtId="207" formatCode="#,##0"/>
    <numFmt numFmtId="208" formatCode="#,##0.00"/>
    <numFmt numFmtId="209" formatCode="#,##0.0000"/>
    <numFmt numFmtId="210" formatCode="@"/>
    <numFmt numFmtId="211" formatCode="_(\$* #,##0.0_);_(\$* \(#,##0.0\);_(\$* \-??_);_(@_)"/>
  </numFmts>
  <fonts count="62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 Narrow"/>
      <family val="2"/>
    </font>
    <font>
      <b val="true"/>
      <sz val="10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2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 val="true"/>
      <sz val="10"/>
      <name val="Arial Narrow"/>
      <family val="2"/>
    </font>
    <font>
      <sz val="10"/>
      <color rgb="FF0000FF"/>
      <name val="Arial"/>
      <family val="2"/>
    </font>
    <font>
      <sz val="9"/>
      <name val="Arial Narrow"/>
      <family val="2"/>
    </font>
    <font>
      <sz val="10"/>
      <color rgb="FF3333CC"/>
      <name val="Arial"/>
      <family val="2"/>
    </font>
    <font>
      <sz val="8"/>
      <name val="Arial Narrow"/>
      <family val="2"/>
    </font>
    <font>
      <b val="true"/>
      <sz val="7"/>
      <name val="Arial Narrow"/>
      <family val="0"/>
    </font>
    <font>
      <b val="true"/>
      <i val="true"/>
      <sz val="10"/>
      <name val="Arial Narrow"/>
      <family val="2"/>
    </font>
    <font>
      <b val="true"/>
      <sz val="10"/>
      <name val="Arial Narrow"/>
      <family val="0"/>
    </font>
    <font>
      <b val="true"/>
      <sz val="14"/>
      <color rgb="FF000000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0"/>
    </font>
    <font>
      <sz val="7"/>
      <color rgb="FF000000"/>
      <name val="Arial Narrow"/>
      <family val="2"/>
    </font>
    <font>
      <b val="true"/>
      <sz val="10"/>
      <color rgb="FF000000"/>
      <name val="Arial Narrow"/>
      <family val="0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8"/>
      <color rgb="FF0000FF"/>
      <name val="Arial Narrow"/>
      <family val="2"/>
    </font>
    <font>
      <b val="true"/>
      <sz val="8"/>
      <color rgb="FF000000"/>
      <name val="Arial Narrow"/>
      <family val="2"/>
    </font>
    <font>
      <sz val="8"/>
      <color rgb="FF000000"/>
      <name val="Arial"/>
      <family val="2"/>
    </font>
    <font>
      <b val="true"/>
      <sz val="7"/>
      <name val="Arial Narrow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 Narrow"/>
      <family val="2"/>
    </font>
    <font>
      <sz val="10"/>
      <color rgb="FF0000FF"/>
      <name val="Arial Narrow"/>
      <family val="2"/>
    </font>
    <font>
      <b val="true"/>
      <u val="single"/>
      <sz val="10"/>
      <name val="Arial Narrow"/>
      <family val="2"/>
    </font>
    <font>
      <b val="true"/>
      <sz val="9"/>
      <name val="Arial"/>
      <family val="2"/>
    </font>
    <font>
      <sz val="10"/>
      <color rgb="FF0000FF"/>
      <name val="Arial Narrow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12"/>
      <name val="Arial Narrow"/>
      <family val="2"/>
    </font>
    <font>
      <b val="true"/>
      <sz val="12"/>
      <name val="Arial"/>
      <family val="2"/>
    </font>
    <font>
      <b val="true"/>
      <sz val="12"/>
      <name val="Arial Narrow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993366"/>
      <name val="Arial"/>
      <family val="2"/>
    </font>
    <font>
      <sz val="10"/>
      <color rgb="FF008000"/>
      <name val="Arial"/>
      <family val="2"/>
    </font>
    <font>
      <sz val="7"/>
      <color rgb="FF008000"/>
      <name val="Arial Narrow"/>
      <family val="2"/>
    </font>
    <font>
      <sz val="9"/>
      <name val="Arial"/>
      <family val="2"/>
    </font>
    <font>
      <sz val="10"/>
      <color rgb="FF339933"/>
      <name val="Arial"/>
      <family val="2"/>
    </font>
    <font>
      <sz val="10"/>
      <color rgb="FF800080"/>
      <name val="Arial"/>
      <family val="2"/>
    </font>
    <font>
      <b val="true"/>
      <sz val="10"/>
      <color rgb="FF993366"/>
      <name val="Arial"/>
      <family val="2"/>
    </font>
    <font>
      <sz val="8"/>
      <color rgb="FF339933"/>
      <name val="Arial"/>
      <family val="2"/>
    </font>
    <font>
      <sz val="10"/>
      <name val="Small Fonts"/>
      <family val="2"/>
    </font>
    <font>
      <b val="true"/>
      <sz val="8"/>
      <color rgb="FF000000"/>
      <name val="Tahoma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42" fontId="1" fillId="0" borderId="0" applyFont="true" applyBorder="false" applyAlignment="false" applyProtection="false"/>
    <xf numFmtId="192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3" xfId="2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2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6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1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2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3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5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86" fontId="33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86" fontId="27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7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88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9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0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3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2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1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28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28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13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2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3" fontId="1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5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3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3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3" fontId="10" fillId="2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5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14" fillId="4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37" fillId="4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3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2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9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9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6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7" fontId="22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22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2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2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7" fontId="2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1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1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9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7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0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7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28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1" fontId="0" fillId="0" borderId="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95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202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5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1" fontId="49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1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0" fontId="28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1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8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9" fontId="1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4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8" fillId="4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8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0" fontId="28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8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8" fontId="2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3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2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97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9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7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8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7" fontId="28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20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5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205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7" fontId="5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8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204" fontId="5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5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5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5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2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7" fontId="28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28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06" fontId="28" fillId="2" borderId="3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2" borderId="3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6" fontId="28" fillId="2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204" fontId="5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5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5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98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97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8" fontId="5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5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0" fontId="2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2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2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204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4" fontId="4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49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7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7" fontId="28" fillId="2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204" fontId="2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20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7" fontId="11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5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3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7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7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4" fontId="5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4" fontId="5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7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7" fontId="5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7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5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208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7" fontId="2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2" fontId="9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2" fontId="28" fillId="0" borderId="2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2" fontId="28" fillId="0" borderId="3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2" fontId="28" fillId="0" borderId="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1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2" fontId="28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2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7" fontId="9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7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207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7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9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1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207" fontId="28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9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202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200" fontId="28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3" fontId="2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7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28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98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207" fontId="28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207" fontId="28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1" fontId="6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0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0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0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1" fontId="5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0" fontId="28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8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E 1-2001" xfId="20"/>
    <cellStyle name="Normal_SYSTEM_DESIGN_Rev_06080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Plan/TWTestMfe_sale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OMEDEPT/Mkt_anly/TW/TWFIN/2000/sanju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01"/>
      <sheetName val="Lay"/>
      <sheetName val="Fuel"/>
      <sheetName val="UAF Calc"/>
      <sheetName val="2000 2ce compare"/>
      <sheetName val="Detail"/>
      <sheetName val="IT Study"/>
      <sheetName val="load factor study"/>
      <sheetName val="Terminations"/>
      <sheetName val="Resubscriptions"/>
      <sheetName val="Stretch"/>
      <sheetName val="Capital"/>
      <sheetName val="Rolling Schedules"/>
    </sheetNames>
    <sheetDataSet>
      <sheetData sheetId="0"/>
      <sheetData sheetId="1"/>
      <sheetData sheetId="2"/>
      <sheetData sheetId="3"/>
      <sheetData sheetId="4"/>
      <sheetData sheetId="5">
        <row r="1">
          <cell r="N1">
            <v>31</v>
          </cell>
        </row>
        <row r="226">
          <cell r="N226">
            <v>1860000</v>
          </cell>
        </row>
        <row r="505">
          <cell r="N505">
            <v>1240000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0Plan"/>
      <sheetName val="99Plan"/>
      <sheetName val="Adjustments"/>
    </sheetNames>
    <sheetDataSet>
      <sheetData sheetId="0"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J10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9" customHeight="true" zeroHeight="false" outlineLevelRow="0" outlineLevelCol="0"/>
  <cols>
    <col collapsed="false" customWidth="true" hidden="false" outlineLevel="0" max="1" min="1" style="1" width="59.19"/>
    <col collapsed="false" customWidth="true" hidden="false" outlineLevel="0" max="2" min="2" style="1" width="23.78"/>
    <col collapsed="false" customWidth="true" hidden="false" outlineLevel="0" max="3" min="3" style="1" width="21.19"/>
    <col collapsed="false" customWidth="false" hidden="false" outlineLevel="0" max="4" min="4" style="1" width="9.59"/>
    <col collapsed="false" customWidth="true" hidden="false" outlineLevel="0" max="5" min="5" style="1" width="18.38"/>
    <col collapsed="false" customWidth="false" hidden="false" outlineLevel="0" max="257" min="6" style="1" width="9.5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2" t="s">
        <v>2</v>
      </c>
      <c r="B5" s="3" t="s">
        <v>3</v>
      </c>
    </row>
    <row r="9" customFormat="false" ht="12.75" hidden="false" customHeight="false" outlineLevel="0" collapsed="false">
      <c r="A9" s="4"/>
      <c r="B9" s="5" t="s">
        <v>4</v>
      </c>
      <c r="C9" s="5" t="s">
        <v>4</v>
      </c>
    </row>
    <row r="10" customFormat="false" ht="12.75" hidden="false" customHeight="false" outlineLevel="0" collapsed="false">
      <c r="A10" s="6"/>
      <c r="B10" s="7" t="s">
        <v>5</v>
      </c>
      <c r="C10" s="7" t="s">
        <v>6</v>
      </c>
      <c r="E10" s="1" t="s">
        <v>7</v>
      </c>
    </row>
    <row r="11" customFormat="false" ht="12.75" hidden="false" customHeight="false" outlineLevel="0" collapsed="false">
      <c r="B11" s="7" t="s">
        <v>8</v>
      </c>
      <c r="C11" s="7" t="s">
        <v>9</v>
      </c>
      <c r="E11" s="2" t="s">
        <v>10</v>
      </c>
    </row>
    <row r="12" customFormat="false" ht="15.75" hidden="false" customHeight="false" outlineLevel="0" collapsed="false">
      <c r="A12" s="8" t="s">
        <v>11</v>
      </c>
      <c r="B12" s="9"/>
      <c r="C12" s="10"/>
    </row>
    <row r="13" customFormat="false" ht="12.75" hidden="false" customHeight="false" outlineLevel="0" collapsed="false">
      <c r="A13" s="11" t="s">
        <v>12</v>
      </c>
      <c r="B13" s="12"/>
      <c r="C13" s="13"/>
      <c r="E13" s="1" t="s">
        <v>13</v>
      </c>
    </row>
    <row r="14" customFormat="false" ht="12.75" hidden="false" customHeight="false" outlineLevel="0" collapsed="false">
      <c r="A14" s="14" t="s">
        <v>14</v>
      </c>
      <c r="B14" s="15" t="n">
        <f aca="false">IF($B$5=Forecast01!$H$10,Forecast01!H14,IF($B$5=Forecast01!$I$10,Forecast01!I14,IF($B$5=Forecast01!$J$10,Forecast01!J14,IF($B$5=Forecast01!$K$10,Forecast01!K14,IF($B$5=Forecast01!$L$10,Forecast01!L14,IF($B$5=Forecast01!$M$10,Forecast01!M14))))))</f>
        <v>266.3</v>
      </c>
      <c r="C14" s="15" t="n">
        <f aca="false">IF($B$5=Forecast01!$H$10,Forecast01!H188,IF($B$5=Forecast01!$I$10,Forecast01!I188,IF($B$5=Forecast01!$J$10,Forecast01!J188,IF($B$5=Forecast01!$K$10,Forecast01!K188,IF($B$5=Forecast01!$L$10,Forecast01!L188,IF($B$5=Forecast01!$M$10,Forecast01!M188,0))))))</f>
        <v>2144.13267</v>
      </c>
      <c r="E14" s="15" t="s">
        <v>15</v>
      </c>
    </row>
    <row r="15" customFormat="false" ht="12.75" hidden="false" customHeight="false" outlineLevel="0" collapsed="false">
      <c r="A15" s="14" t="s">
        <v>16</v>
      </c>
      <c r="C15" s="15" t="n">
        <f aca="false">IF($B$5=Forecast01!$H$10,Forecast01!H189,IF($B$5=Forecast01!$I$10,Forecast01!I189,IF($B$5=Forecast01!$J$10,Forecast01!J189,IF($B$5=Forecast01!$K$10,Forecast01!K189,IF($B$5=Forecast01!$L$10,Forecast01!L189,IF($B$5=Forecast01!$M$10,Forecast01!M189,0))))))</f>
        <v>353.6015</v>
      </c>
      <c r="E15" s="16" t="s">
        <v>17</v>
      </c>
    </row>
    <row r="16" customFormat="false" ht="12.75" hidden="false" customHeight="false" outlineLevel="0" collapsed="false">
      <c r="A16" s="14" t="s">
        <v>18</v>
      </c>
      <c r="B16" s="15" t="n">
        <f aca="false">IF($B$5=Forecast01!$H$10,Forecast01!H15,IF($B$5=Forecast01!$I$10,Forecast01!I15,IF($B$5=Forecast01!$J$10,Forecast01!J15,IF($B$5=Forecast01!$K$10,Forecast01!K15,IF($B$5=Forecast01!$L$10,Forecast01!L15,IF($B$5=Forecast01!$M$10,Forecast01!M15))))))</f>
        <v>382.675806451613</v>
      </c>
      <c r="C16" s="15" t="n">
        <f aca="false">IF($B$5=Forecast01!$H$10,Forecast01!H190,IF($B$5=Forecast01!$I$10,Forecast01!I190,IF($B$5=Forecast01!$J$10,Forecast01!J190,IF($B$5=Forecast01!$K$10,Forecast01!K190,IF($B$5=Forecast01!$L$10,Forecast01!L190,IF($B$5=Forecast01!$M$10,Forecast01!M190,0))))))</f>
        <v>323.300135</v>
      </c>
      <c r="E16" s="1" t="s">
        <v>19</v>
      </c>
    </row>
    <row r="17" customFormat="false" ht="12.75" hidden="false" customHeight="false" outlineLevel="0" collapsed="false">
      <c r="A17" s="17" t="s">
        <v>20</v>
      </c>
      <c r="B17" s="15" t="n">
        <f aca="false">IF($B$5=Forecast01!$H$10,Forecast01!H16,IF($B$5=Forecast01!$I$10,Forecast01!I16,IF($B$5=Forecast01!$J$10,Forecast01!J16,IF($B$5=Forecast01!$K$10,Forecast01!K16,IF($B$5=Forecast01!$L$10,Forecast01!L16,IF($B$5=Forecast01!$M$10,Forecast01!M16))))))</f>
        <v>0</v>
      </c>
      <c r="C17" s="15" t="n">
        <f aca="false">IF($B$5=Forecast01!$H$10,Forecast01!H191,IF($B$5=Forecast01!$I$10,Forecast01!I191,IF($B$5=Forecast01!$J$10,Forecast01!J191,IF($B$5=Forecast01!$K$10,Forecast01!K191,IF($B$5=Forecast01!$L$10,Forecast01!L191,IF($B$5=Forecast01!$M$10,Forecast01!M191,0))))))</f>
        <v>0</v>
      </c>
      <c r="E17" s="15" t="s">
        <v>21</v>
      </c>
    </row>
    <row r="18" customFormat="false" ht="12.75" hidden="false" customHeight="false" outlineLevel="0" collapsed="false">
      <c r="A18" s="14" t="s">
        <v>22</v>
      </c>
      <c r="B18" s="15" t="n">
        <f aca="false">IF($B$5=Forecast01!$H$10,Forecast01!H17,IF($B$5=Forecast01!$I$10,Forecast01!I17,IF($B$5=Forecast01!$J$10,Forecast01!J17,IF($B$5=Forecast01!$K$10,Forecast01!K17,IF($B$5=Forecast01!$L$10,Forecast01!L17,IF($B$5=Forecast01!$M$10,Forecast01!M17))))))</f>
        <v>0</v>
      </c>
      <c r="C18" s="18" t="n">
        <f aca="false">IF($B$5=Forecast01!$H$10,Forecast01!H192,IF($B$5=Forecast01!$I$10,Forecast01!I192,IF($B$5=Forecast01!$J$10,Forecast01!J192,IF($B$5=Forecast01!$K$10,Forecast01!K192,IF($B$5=Forecast01!$L$10,Forecast01!L192,IF($B$5=Forecast01!$M$10,Forecast01!M192,0))))))</f>
        <v>0</v>
      </c>
    </row>
    <row r="19" customFormat="false" ht="12.75" hidden="false" customHeight="false" outlineLevel="0" collapsed="false">
      <c r="A19" s="11" t="s">
        <v>23</v>
      </c>
      <c r="B19" s="19" t="n">
        <f aca="false">SUM(B16:B18)</f>
        <v>382.675806451613</v>
      </c>
      <c r="C19" s="20" t="n">
        <f aca="false">SUM(C14:C18)</f>
        <v>2821.034305</v>
      </c>
    </row>
    <row r="20" customFormat="false" ht="12.75" hidden="false" customHeight="false" outlineLevel="0" collapsed="false">
      <c r="A20" s="14"/>
      <c r="B20" s="19"/>
      <c r="C20" s="10"/>
    </row>
    <row r="21" customFormat="false" ht="12.75" hidden="false" customHeight="false" outlineLevel="0" collapsed="false">
      <c r="A21" s="11" t="s">
        <v>24</v>
      </c>
      <c r="B21" s="13"/>
      <c r="C21" s="10"/>
    </row>
    <row r="22" customFormat="false" ht="12.75" hidden="false" customHeight="false" outlineLevel="0" collapsed="false">
      <c r="A22" s="14" t="s">
        <v>14</v>
      </c>
      <c r="B22" s="15" t="n">
        <f aca="false">IF($B$5=Forecast01!$H$10,Forecast01!H21,IF($B$5=Forecast01!$I$10,Forecast01!I21,IF($B$5=Forecast01!$J$10,Forecast01!J21,IF($B$5=Forecast01!$K$10,Forecast01!K21,IF($B$5=Forecast01!$L$10,Forecast01!L21,IF($B$5=Forecast01!$M$10,Forecast01!M21))))))</f>
        <v>578</v>
      </c>
      <c r="C22" s="15" t="n">
        <f aca="false">IF($B$5=Forecast01!$H$10,Forecast01!H196,IF($B$5=Forecast01!$I$10,Forecast01!I196,IF($B$5=Forecast01!$J$10,Forecast01!J196,IF($B$5=Forecast01!$K$10,Forecast01!K196,IF($B$5=Forecast01!$L$10,Forecast01!L196,IF($B$5=Forecast01!$M$10,Forecast01!M196,0))))))</f>
        <v>4500.0090544</v>
      </c>
    </row>
    <row r="23" customFormat="false" ht="12.75" hidden="false" customHeight="false" outlineLevel="0" collapsed="false">
      <c r="A23" s="14" t="s">
        <v>16</v>
      </c>
      <c r="C23" s="15" t="n">
        <f aca="false">IF($B$5=Forecast01!$H$10,Forecast01!H197,IF($B$5=Forecast01!$I$10,Forecast01!I197,IF($B$5=Forecast01!$J$10,Forecast01!J197,IF($B$5=Forecast01!$K$10,Forecast01!K197,IF($B$5=Forecast01!$L$10,Forecast01!L197,IF($B$5=Forecast01!$M$10,Forecast01!M197,0))))))</f>
        <v>650.7396</v>
      </c>
    </row>
    <row r="24" customFormat="false" ht="12.75" hidden="false" customHeight="false" outlineLevel="0" collapsed="false">
      <c r="A24" s="14" t="s">
        <v>18</v>
      </c>
      <c r="B24" s="15" t="n">
        <f aca="false">IF($B$5=Forecast01!$H$10,Forecast01!H22,IF($B$5=Forecast01!$I$10,Forecast01!I22,IF($B$5=Forecast01!$J$10,Forecast01!J22,IF($B$5=Forecast01!$K$10,Forecast01!K22,IF($B$5=Forecast01!$L$10,Forecast01!L22,IF($B$5=Forecast01!$M$10,Forecast01!M22))))))</f>
        <v>357.294</v>
      </c>
      <c r="C24" s="15" t="n">
        <f aca="false">IF($B$5=Forecast01!$H$10,Forecast01!H198,IF($B$5=Forecast01!$I$10,Forecast01!I198,IF($B$5=Forecast01!$J$10,Forecast01!J198,IF($B$5=Forecast01!$K$10,Forecast01!K198,IF($B$5=Forecast01!$L$10,Forecast01!L198,IF($B$5=Forecast01!$M$10,Forecast01!M198,0))))))</f>
        <v>332.788751</v>
      </c>
    </row>
    <row r="25" customFormat="false" ht="12.75" hidden="false" customHeight="false" outlineLevel="0" collapsed="false">
      <c r="A25" s="14" t="s">
        <v>20</v>
      </c>
      <c r="B25" s="15" t="n">
        <f aca="false">IF($B$5=Forecast01!$H$10,Forecast01!H23,IF($B$5=Forecast01!$I$10,Forecast01!I23,IF($B$5=Forecast01!$J$10,Forecast01!J23,IF($B$5=Forecast01!$K$10,Forecast01!K23,IF($B$5=Forecast01!$L$10,Forecast01!L23,IF($B$5=Forecast01!$M$10,Forecast01!M23))))))</f>
        <v>0</v>
      </c>
      <c r="C25" s="15" t="n">
        <f aca="false">IF($B$5=Forecast01!$H$10,Forecast01!H199,IF($B$5=Forecast01!$I$10,Forecast01!I199,IF($B$5=Forecast01!$J$10,Forecast01!J199,IF($B$5=Forecast01!$K$10,Forecast01!K199,IF($B$5=Forecast01!$L$10,Forecast01!L199,IF($B$5=Forecast01!$M$10,Forecast01!M199,0))))))</f>
        <v>0</v>
      </c>
    </row>
    <row r="26" customFormat="false" ht="12.75" hidden="false" customHeight="false" outlineLevel="0" collapsed="false">
      <c r="A26" s="14" t="s">
        <v>25</v>
      </c>
      <c r="C26" s="15" t="n">
        <f aca="false">IF($B$5=Forecast01!$H$10,Forecast01!H200,IF($B$5=Forecast01!$I$10,Forecast01!I200,IF($B$5=Forecast01!$J$10,Forecast01!J200,IF($B$5=Forecast01!$K$10,Forecast01!K200,IF($B$5=Forecast01!$L$10,Forecast01!L200,IF($B$5=Forecast01!$M$10,Forecast01!M200,0))))))</f>
        <v>0</v>
      </c>
    </row>
    <row r="27" customFormat="false" ht="12.75" hidden="false" customHeight="false" outlineLevel="0" collapsed="false">
      <c r="A27" s="14" t="s">
        <v>22</v>
      </c>
      <c r="B27" s="18" t="n">
        <f aca="false">IF($B$5=Forecast01!$H$10,Forecast01!H24,IF($B$5=Forecast01!$I$10,Forecast01!I24,IF($B$5=Forecast01!$J$10,Forecast01!J24,IF($B$5=Forecast01!$K$10,Forecast01!K24,IF($B$5=Forecast01!$L$10,Forecast01!L24,IF($B$5=Forecast01!$M$10,Forecast01!M24))))))</f>
        <v>35</v>
      </c>
      <c r="C27" s="18" t="n">
        <f aca="false">IF($B$5=Forecast01!$H$10,Forecast01!H201,IF($B$5=Forecast01!$I$10,Forecast01!I201,IF($B$5=Forecast01!$J$10,Forecast01!J201,IF($B$5=Forecast01!$K$10,Forecast01!K201,IF($B$5=Forecast01!$L$10,Forecast01!L201,IF($B$5=Forecast01!$M$10,Forecast01!M201,0))))))</f>
        <v>21.7</v>
      </c>
    </row>
    <row r="28" customFormat="false" ht="12.75" hidden="false" customHeight="false" outlineLevel="0" collapsed="false">
      <c r="A28" s="11" t="s">
        <v>26</v>
      </c>
      <c r="B28" s="19" t="n">
        <f aca="false">SUM(B24:B27)</f>
        <v>392.294</v>
      </c>
      <c r="C28" s="20" t="n">
        <f aca="false">SUM(C22:C27)</f>
        <v>5505.2374054</v>
      </c>
    </row>
    <row r="29" customFormat="false" ht="12.75" hidden="false" customHeight="false" outlineLevel="0" collapsed="false">
      <c r="A29" s="14"/>
      <c r="B29" s="19"/>
      <c r="C29" s="10"/>
    </row>
    <row r="30" customFormat="false" ht="12.75" hidden="false" customHeight="false" outlineLevel="0" collapsed="false">
      <c r="A30" s="11" t="s">
        <v>27</v>
      </c>
      <c r="B30" s="13"/>
      <c r="C30" s="10"/>
    </row>
    <row r="31" customFormat="false" ht="12.75" hidden="false" customHeight="false" outlineLevel="0" collapsed="false">
      <c r="A31" s="14" t="s">
        <v>14</v>
      </c>
      <c r="B31" s="21" t="n">
        <f aca="false">IF($B$5=Forecast01!$H$10,Forecast01!H28,IF($B$5=Forecast01!$I$10,Forecast01!I28,IF($B$5=Forecast01!$J$10,Forecast01!J28,IF($B$5=Forecast01!$K$10,Forecast01!K28,IF($B$5=Forecast01!$L$10,Forecast01!L28,IF($B$5=Forecast01!$M$10,Forecast01!M28))))))</f>
        <v>60</v>
      </c>
      <c r="C31" s="15" t="n">
        <f aca="false">IF($B$5=Forecast01!$H$10,Forecast01!H205,IF($B$5=Forecast01!$I$10,Forecast01!I205,IF($B$5=Forecast01!$J$10,Forecast01!J205,IF($B$5=Forecast01!$K$10,Forecast01!K205,IF($B$5=Forecast01!$L$10,Forecast01!L205,IF($B$5=Forecast01!$M$10,Forecast01!M205,0))))))</f>
        <v>296.0934</v>
      </c>
    </row>
    <row r="32" customFormat="false" ht="12.75" hidden="false" customHeight="false" outlineLevel="0" collapsed="false">
      <c r="A32" s="14" t="s">
        <v>18</v>
      </c>
      <c r="B32" s="21" t="n">
        <f aca="false">IF($B$5=Forecast01!$H$10,Forecast01!H29,IF($B$5=Forecast01!$I$10,Forecast01!I29,IF($B$5=Forecast01!$J$10,Forecast01!J29,IF($B$5=Forecast01!$K$10,Forecast01!K29,IF($B$5=Forecast01!$L$10,Forecast01!L29,IF($B$5=Forecast01!$M$10,Forecast01!M29))))))</f>
        <v>51</v>
      </c>
      <c r="C32" s="15" t="n">
        <f aca="false">IF($B$5=Forecast01!$H$10,Forecast01!H206,IF($B$5=Forecast01!$I$10,Forecast01!I206,IF($B$5=Forecast01!$J$10,Forecast01!J206,IF($B$5=Forecast01!$K$10,Forecast01!K206,IF($B$5=Forecast01!$L$10,Forecast01!L206,IF($B$5=Forecast01!$M$10,Forecast01!M206,0))))))</f>
        <v>29.4066</v>
      </c>
    </row>
    <row r="33" customFormat="false" ht="12.75" hidden="false" customHeight="false" outlineLevel="0" collapsed="false">
      <c r="A33" s="14" t="s">
        <v>20</v>
      </c>
      <c r="B33" s="21" t="n">
        <f aca="false">IF($B$5=Forecast01!$H$10,Forecast01!H30,IF($B$5=Forecast01!$I$10,Forecast01!I30,IF($B$5=Forecast01!$J$10,Forecast01!J30,IF($B$5=Forecast01!$K$10,Forecast01!K30,IF($B$5=Forecast01!$L$10,Forecast01!L30,IF($B$5=Forecast01!$M$10,Forecast01!M30))))))</f>
        <v>0</v>
      </c>
      <c r="C33" s="15" t="n">
        <f aca="false">IF($B$5=Forecast01!$H$10,Forecast01!H207,IF($B$5=Forecast01!$I$10,Forecast01!I207,IF($B$5=Forecast01!$J$10,Forecast01!J207,IF($B$5=Forecast01!$K$10,Forecast01!K207,IF($B$5=Forecast01!$L$10,Forecast01!L207,IF($B$5=Forecast01!$M$10,Forecast01!M207,0))))))</f>
        <v>0</v>
      </c>
    </row>
    <row r="34" customFormat="false" ht="12.75" hidden="false" customHeight="false" outlineLevel="0" collapsed="false">
      <c r="A34" s="14" t="s">
        <v>22</v>
      </c>
      <c r="B34" s="21" t="n">
        <f aca="false">IF($B$5=Forecast01!$H$10,Forecast01!H31,IF($B$5=Forecast01!$I$10,Forecast01!I31,IF($B$5=Forecast01!$J$10,Forecast01!J31,IF($B$5=Forecast01!$K$10,Forecast01!K31,IF($B$5=Forecast01!$L$10,Forecast01!L31,IF($B$5=Forecast01!$M$10,Forecast01!M31))))))</f>
        <v>0</v>
      </c>
      <c r="C34" s="18" t="n">
        <f aca="false">IF($B$5=Forecast01!$H$10,Forecast01!H208,IF($B$5=Forecast01!$I$10,Forecast01!I208,IF($B$5=Forecast01!$J$10,Forecast01!J208,IF($B$5=Forecast01!$K$10,Forecast01!K208,IF($B$5=Forecast01!$L$10,Forecast01!L208,IF($B$5=Forecast01!$M$10,Forecast01!M208,0))))))</f>
        <v>0</v>
      </c>
    </row>
    <row r="35" customFormat="false" ht="12.75" hidden="false" customHeight="false" outlineLevel="0" collapsed="false">
      <c r="A35" s="11" t="s">
        <v>28</v>
      </c>
      <c r="B35" s="19" t="n">
        <f aca="false">SUM(B32:B34)</f>
        <v>51</v>
      </c>
      <c r="C35" s="20" t="n">
        <f aca="false">SUM(C31:C34)</f>
        <v>325.5</v>
      </c>
    </row>
    <row r="36" customFormat="false" ht="12.75" hidden="false" customHeight="false" outlineLevel="0" collapsed="false">
      <c r="A36" s="14"/>
      <c r="B36" s="19"/>
      <c r="C36" s="10"/>
    </row>
    <row r="37" customFormat="false" ht="12.75" hidden="false" customHeight="false" outlineLevel="0" collapsed="false">
      <c r="A37" s="11" t="s">
        <v>29</v>
      </c>
      <c r="B37" s="13"/>
      <c r="C37" s="10"/>
    </row>
    <row r="38" customFormat="false" ht="12.75" hidden="false" customHeight="false" outlineLevel="0" collapsed="false">
      <c r="A38" s="14" t="s">
        <v>14</v>
      </c>
      <c r="B38" s="21" t="n">
        <f aca="false">IF($B$5=Forecast01!$H$10,Forecast01!H35,IF($B$5=Forecast01!$I$10,Forecast01!I35,IF($B$5=Forecast01!$J$10,Forecast01!J35,IF($B$5=Forecast01!$K$10,Forecast01!K35,IF($B$5=Forecast01!$L$10,Forecast01!L35,IF($B$5=Forecast01!$M$10,Forecast01!M35))))))</f>
        <v>183.6</v>
      </c>
      <c r="C38" s="15" t="n">
        <f aca="false">IF($B$5=Forecast01!$H$10,Forecast01!H212,IF($B$5=Forecast01!$I$10,Forecast01!I212,IF($B$5=Forecast01!$J$10,Forecast01!J212,IF($B$5=Forecast01!$K$10,Forecast01!K212,IF($B$5=Forecast01!$L$10,Forecast01!L212,IF($B$5=Forecast01!$M$10,Forecast01!M212,0))))))</f>
        <v>958.753678</v>
      </c>
    </row>
    <row r="39" customFormat="false" ht="12.75" hidden="false" customHeight="false" outlineLevel="0" collapsed="false">
      <c r="A39" s="14" t="s">
        <v>18</v>
      </c>
      <c r="B39" s="21" t="n">
        <f aca="false">IF($B$5=Forecast01!$H$10,Forecast01!H36,IF($B$5=Forecast01!$I$10,Forecast01!I36,IF($B$5=Forecast01!$J$10,Forecast01!J36,IF($B$5=Forecast01!$K$10,Forecast01!K36,IF($B$5=Forecast01!$L$10,Forecast01!L36,IF($B$5=Forecast01!$M$10,Forecast01!M36))))))</f>
        <v>174.42</v>
      </c>
      <c r="C39" s="15" t="n">
        <f aca="false">IF($B$5=Forecast01!$H$10,Forecast01!H213,IF($B$5=Forecast01!$I$10,Forecast01!I213,IF($B$5=Forecast01!$J$10,Forecast01!J213,IF($B$5=Forecast01!$K$10,Forecast01!K213,IF($B$5=Forecast01!$L$10,Forecast01!L213,IF($B$5=Forecast01!$M$10,Forecast01!M213,0))))))</f>
        <v>100.570572</v>
      </c>
    </row>
    <row r="40" customFormat="false" ht="12.75" hidden="false" customHeight="false" outlineLevel="0" collapsed="false">
      <c r="A40" s="14" t="s">
        <v>20</v>
      </c>
      <c r="B40" s="21" t="n">
        <f aca="false">IF($B$5=Forecast01!$H$10,Forecast01!H37,IF($B$5=Forecast01!$I$10,Forecast01!I37,IF($B$5=Forecast01!$J$10,Forecast01!J37,IF($B$5=Forecast01!$K$10,Forecast01!K37,IF($B$5=Forecast01!$L$10,Forecast01!L37,IF($B$5=Forecast01!$M$10,Forecast01!M37))))))</f>
        <v>0</v>
      </c>
      <c r="C40" s="15" t="n">
        <f aca="false">IF($B$5=Forecast01!$H$10,Forecast01!H214,IF($B$5=Forecast01!$I$10,Forecast01!I214,IF($B$5=Forecast01!$J$10,Forecast01!J214,IF($B$5=Forecast01!$K$10,Forecast01!K214,IF($B$5=Forecast01!$L$10,Forecast01!L214,IF($B$5=Forecast01!$M$10,Forecast01!M214,0))))))</f>
        <v>0</v>
      </c>
    </row>
    <row r="41" customFormat="false" ht="12.75" hidden="false" customHeight="false" outlineLevel="0" collapsed="false">
      <c r="A41" s="14" t="s">
        <v>30</v>
      </c>
      <c r="B41" s="21" t="n">
        <f aca="false">IF($B$5=Forecast01!$H$10,Forecast01!H38,IF($B$5=Forecast01!$I$10,Forecast01!I38,IF($B$5=Forecast01!$J$10,Forecast01!J38,IF($B$5=Forecast01!$K$10,Forecast01!K38,IF($B$5=Forecast01!$L$10,Forecast01!L38,IF($B$5=Forecast01!$M$10,Forecast01!M38))))))</f>
        <v>0</v>
      </c>
      <c r="C41" s="15" t="n">
        <f aca="false">IF($B$5=Forecast01!$H$10,Forecast01!H215,IF($B$5=Forecast01!$I$10,Forecast01!I215,IF($B$5=Forecast01!$J$10,Forecast01!J215,IF($B$5=Forecast01!$K$10,Forecast01!K215,IF($B$5=Forecast01!$L$10,Forecast01!L215,IF($B$5=Forecast01!$M$10,Forecast01!M215,0))))))</f>
        <v>0</v>
      </c>
    </row>
    <row r="42" customFormat="false" ht="12.75" hidden="false" customHeight="false" outlineLevel="0" collapsed="false">
      <c r="A42" s="14" t="s">
        <v>22</v>
      </c>
      <c r="B42" s="21" t="n">
        <f aca="false">IF($B$5=Forecast01!$H$10,Forecast01!H39,IF($B$5=Forecast01!$I$10,Forecast01!I39,IF($B$5=Forecast01!$J$10,Forecast01!J39,IF($B$5=Forecast01!$K$10,Forecast01!K39,IF($B$5=Forecast01!$L$10,Forecast01!L39,IF($B$5=Forecast01!$M$10,Forecast01!M39))))))</f>
        <v>0</v>
      </c>
      <c r="C42" s="18" t="n">
        <f aca="false">IF($B$5=Forecast01!$H$10,Forecast01!H216,IF($B$5=Forecast01!$I$10,Forecast01!I216,IF($B$5=Forecast01!$J$10,Forecast01!J216,IF($B$5=Forecast01!$K$10,Forecast01!K216,IF($B$5=Forecast01!$L$10,Forecast01!L216,IF($B$5=Forecast01!$M$10,Forecast01!M216,0))))))</f>
        <v>0</v>
      </c>
    </row>
    <row r="43" customFormat="false" ht="12.75" hidden="false" customHeight="false" outlineLevel="0" collapsed="false">
      <c r="A43" s="11" t="s">
        <v>31</v>
      </c>
      <c r="B43" s="19" t="n">
        <f aca="false">SUM(B39:B42)</f>
        <v>174.42</v>
      </c>
      <c r="C43" s="22" t="n">
        <f aca="false">SUM(C38:C42)</f>
        <v>1059.32425</v>
      </c>
    </row>
    <row r="44" customFormat="false" ht="12.75" hidden="false" customHeight="false" outlineLevel="0" collapsed="false">
      <c r="A44" s="23" t="s">
        <v>32</v>
      </c>
      <c r="B44" s="24" t="n">
        <f aca="false">B14+B22+B31+B38</f>
        <v>1087.9</v>
      </c>
      <c r="C44" s="20" t="n">
        <f aca="false">+C15+C22+C31+C38+C23+C14</f>
        <v>8903.3299024</v>
      </c>
    </row>
    <row r="45" customFormat="false" ht="12.75" hidden="false" customHeight="false" outlineLevel="0" collapsed="false">
      <c r="A45" s="23" t="s">
        <v>33</v>
      </c>
      <c r="B45" s="24" t="n">
        <f aca="false">B19+B28+B35+B43</f>
        <v>1000.38980645161</v>
      </c>
      <c r="C45" s="25" t="n">
        <f aca="false">C16+C17+C18+C24+C25+C26+C27+C32+C33+C34+C39+C40+C41+C42</f>
        <v>807.766058</v>
      </c>
    </row>
    <row r="46" customFormat="false" ht="12.75" hidden="false" customHeight="false" outlineLevel="0" collapsed="false">
      <c r="A46" s="23" t="s">
        <v>34</v>
      </c>
      <c r="B46" s="26"/>
      <c r="C46" s="25" t="n">
        <f aca="false">SUM(C44:C45)</f>
        <v>9711.0959604</v>
      </c>
    </row>
    <row r="47" customFormat="false" ht="12.75" hidden="false" customHeight="false" outlineLevel="0" collapsed="false">
      <c r="A47" s="27"/>
      <c r="B47" s="10"/>
      <c r="C47" s="28"/>
    </row>
    <row r="48" customFormat="false" ht="15.75" hidden="false" customHeight="false" outlineLevel="0" collapsed="false">
      <c r="A48" s="8" t="s">
        <v>35</v>
      </c>
      <c r="B48" s="10"/>
      <c r="C48" s="29"/>
    </row>
    <row r="49" customFormat="false" ht="12.75" hidden="false" customHeight="false" outlineLevel="0" collapsed="false">
      <c r="A49" s="11" t="s">
        <v>36</v>
      </c>
      <c r="B49" s="13"/>
      <c r="C49" s="13"/>
    </row>
    <row r="50" customFormat="false" ht="12.75" hidden="false" customHeight="false" outlineLevel="0" collapsed="false">
      <c r="A50" s="14" t="s">
        <v>14</v>
      </c>
      <c r="B50" s="15" t="n">
        <f aca="false">IF($B$5=Forecast01!$H$10,Forecast01!H46,IF($B$5=Forecast01!$I$10,Forecast01!I46,IF($B$5=Forecast01!$J$10,Forecast01!J46,IF($B$5=Forecast01!$K$10,Forecast01!K46,IF($B$5=Forecast01!$L$10,Forecast01!L46,IF($B$5=Forecast01!$M$10,Forecast01!M46))))))</f>
        <v>0</v>
      </c>
      <c r="C50" s="15" t="n">
        <f aca="false">IF($B$5=Forecast01!$H$10,Forecast01!H224,IF($B$5=Forecast01!$I$10,Forecast01!I224,IF($B$5=Forecast01!$J$10,Forecast01!J224,IF($B$5=Forecast01!$K$10,Forecast01!K224,IF($B$5=Forecast01!$L$10,Forecast01!L224,IF($B$5=Forecast01!$M$10,Forecast01!M224,0))))))</f>
        <v>0</v>
      </c>
    </row>
    <row r="51" customFormat="false" ht="12.75" hidden="false" customHeight="false" outlineLevel="0" collapsed="false">
      <c r="A51" s="14" t="s">
        <v>18</v>
      </c>
      <c r="B51" s="15" t="n">
        <f aca="false">IF($B$5=Forecast01!$H$10,Forecast01!H47,IF($B$5=Forecast01!$I$10,Forecast01!I47,IF($B$5=Forecast01!$J$10,Forecast01!J47,IF($B$5=Forecast01!$K$10,Forecast01!K47,IF($B$5=Forecast01!$L$10,Forecast01!L47,IF($B$5=Forecast01!$M$10,Forecast01!M47))))))</f>
        <v>0</v>
      </c>
      <c r="C51" s="15" t="n">
        <f aca="false">IF($B$5=Forecast01!$H$10,Forecast01!H225,IF($B$5=Forecast01!$I$10,Forecast01!I225,IF($B$5=Forecast01!$J$10,Forecast01!J225,IF($B$5=Forecast01!$K$10,Forecast01!K225,IF($B$5=Forecast01!$L$10,Forecast01!L225,IF($B$5=Forecast01!$M$10,Forecast01!M225,0))))))</f>
        <v>0</v>
      </c>
    </row>
    <row r="52" customFormat="false" ht="12.75" hidden="false" customHeight="false" outlineLevel="0" collapsed="false">
      <c r="A52" s="14" t="s">
        <v>20</v>
      </c>
      <c r="B52" s="15" t="n">
        <f aca="false">IF($B$5=Forecast01!$H$10,Forecast01!H48,IF($B$5=Forecast01!$I$10,Forecast01!I48,IF($B$5=Forecast01!$J$10,Forecast01!J48,IF($B$5=Forecast01!$K$10,Forecast01!K48,IF($B$5=Forecast01!$L$10,Forecast01!L48,IF($B$5=Forecast01!$M$10,Forecast01!M48))))))</f>
        <v>0</v>
      </c>
      <c r="C52" s="15" t="n">
        <f aca="false">IF($B$5=Forecast01!$H$10,Forecast01!H226,IF($B$5=Forecast01!$I$10,Forecast01!I226,IF($B$5=Forecast01!$J$10,Forecast01!J226,IF($B$5=Forecast01!$K$10,Forecast01!K226,IF($B$5=Forecast01!$L$10,Forecast01!L226,IF($B$5=Forecast01!$M$10,Forecast01!M226,0))))))</f>
        <v>0</v>
      </c>
    </row>
    <row r="53" customFormat="false" ht="12.75" hidden="false" customHeight="false" outlineLevel="0" collapsed="false">
      <c r="A53" s="14" t="s">
        <v>22</v>
      </c>
      <c r="B53" s="15" t="n">
        <f aca="false">IF($B$5=Forecast01!$H$10,Forecast01!H49,IF($B$5=Forecast01!$I$10,Forecast01!I49,IF($B$5=Forecast01!$J$10,Forecast01!J49,IF($B$5=Forecast01!$K$10,Forecast01!K49,IF($B$5=Forecast01!$L$10,Forecast01!L49,IF($B$5=Forecast01!$M$10,Forecast01!M49))))))</f>
        <v>0</v>
      </c>
      <c r="C53" s="18" t="n">
        <f aca="false">IF($B$5=Forecast01!$H$10,Forecast01!H227,IF($B$5=Forecast01!$I$10,Forecast01!I227,IF($B$5=Forecast01!$J$10,Forecast01!J227,IF($B$5=Forecast01!$K$10,Forecast01!K227,IF($B$5=Forecast01!$L$10,Forecast01!L227,IF($B$5=Forecast01!$M$10,Forecast01!M227,0))))))</f>
        <v>0</v>
      </c>
    </row>
    <row r="54" customFormat="false" ht="12.75" hidden="false" customHeight="false" outlineLevel="0" collapsed="false">
      <c r="A54" s="11" t="s">
        <v>37</v>
      </c>
      <c r="B54" s="19" t="n">
        <f aca="false">SUM(B51:B53)</f>
        <v>0</v>
      </c>
      <c r="C54" s="20" t="n">
        <f aca="false">SUM(C50:C53)</f>
        <v>0</v>
      </c>
    </row>
    <row r="55" customFormat="false" ht="12.75" hidden="false" customHeight="false" outlineLevel="0" collapsed="false">
      <c r="A55" s="14"/>
      <c r="B55" s="19"/>
      <c r="C55" s="29"/>
    </row>
    <row r="56" customFormat="false" ht="12.75" hidden="false" customHeight="false" outlineLevel="0" collapsed="false">
      <c r="A56" s="11" t="s">
        <v>38</v>
      </c>
      <c r="B56" s="13"/>
      <c r="C56" s="13"/>
    </row>
    <row r="57" customFormat="false" ht="12.75" hidden="false" customHeight="false" outlineLevel="0" collapsed="false">
      <c r="A57" s="14" t="s">
        <v>14</v>
      </c>
      <c r="B57" s="15" t="n">
        <f aca="false">IF($B$5=Forecast01!$H$10,Forecast01!H53,IF($B$5=Forecast01!$I$10,Forecast01!I53,IF($B$5=Forecast01!$J$10,Forecast01!J53,IF($B$5=Forecast01!$K$10,Forecast01!K53,IF($B$5=Forecast01!$L$10,Forecast01!L53,IF($B$5=Forecast01!$M$10,Forecast01!M53))))))</f>
        <v>609</v>
      </c>
      <c r="C57" s="15" t="n">
        <f aca="false">IF($B$5=Forecast01!$H$10,Forecast01!H231,IF($B$5=Forecast01!$I$10,Forecast01!I231,IF($B$5=Forecast01!$J$10,Forecast01!J231,IF($B$5=Forecast01!$K$10,Forecast01!K231,IF($B$5=Forecast01!$L$10,Forecast01!L231,IF($B$5=Forecast01!$M$10,Forecast01!M231,0))))))</f>
        <v>394.532133</v>
      </c>
    </row>
    <row r="58" customFormat="false" ht="12.75" hidden="false" customHeight="false" outlineLevel="0" collapsed="false">
      <c r="A58" s="14" t="s">
        <v>18</v>
      </c>
      <c r="B58" s="15" t="n">
        <f aca="false">IF($B$5=Forecast01!$H$10,Forecast01!H54,IF($B$5=Forecast01!$I$10,Forecast01!I54,IF($B$5=Forecast01!$J$10,Forecast01!J54,IF($B$5=Forecast01!$K$10,Forecast01!K54,IF($B$5=Forecast01!$L$10,Forecast01!L54,IF($B$5=Forecast01!$M$10,Forecast01!M54))))))</f>
        <v>267.49</v>
      </c>
      <c r="C58" s="15" t="n">
        <f aca="false">IF($B$5=Forecast01!$H$10,Forecast01!H232,IF($B$5=Forecast01!$I$10,Forecast01!I232,IF($B$5=Forecast01!$J$10,Forecast01!J232,IF($B$5=Forecast01!$K$10,Forecast01!K232,IF($B$5=Forecast01!$L$10,Forecast01!L232,IF($B$5=Forecast01!$M$10,Forecast01!M232,0))))))</f>
        <v>77.117367</v>
      </c>
    </row>
    <row r="59" customFormat="false" ht="12.75" hidden="false" customHeight="false" outlineLevel="0" collapsed="false">
      <c r="A59" s="14" t="s">
        <v>20</v>
      </c>
      <c r="B59" s="15" t="n">
        <f aca="false">IF($B$5=Forecast01!$H$10,Forecast01!H55,IF($B$5=Forecast01!$I$10,Forecast01!I55,IF($B$5=Forecast01!$J$10,Forecast01!J55,IF($B$5=Forecast01!$K$10,Forecast01!K55,IF($B$5=Forecast01!$L$10,Forecast01!L55,IF($B$5=Forecast01!$M$10,Forecast01!M55))))))</f>
        <v>0</v>
      </c>
      <c r="C59" s="15" t="n">
        <f aca="false">IF($B$5=Forecast01!$H$10,Forecast01!H233,IF($B$5=Forecast01!$I$10,Forecast01!I233,IF($B$5=Forecast01!$J$10,Forecast01!J233,IF($B$5=Forecast01!$K$10,Forecast01!K233,IF($B$5=Forecast01!$L$10,Forecast01!L233,IF($B$5=Forecast01!$M$10,Forecast01!M233,0))))))</f>
        <v>0</v>
      </c>
    </row>
    <row r="60" customFormat="false" ht="12.75" hidden="false" customHeight="false" outlineLevel="0" collapsed="false">
      <c r="A60" s="14" t="s">
        <v>39</v>
      </c>
      <c r="B60" s="15" t="n">
        <f aca="false">IF($B$5=Forecast01!$H$10,Forecast01!H56,IF($B$5=Forecast01!$I$10,Forecast01!I56,IF($B$5=Forecast01!$J$10,Forecast01!J56,IF($B$5=Forecast01!$K$10,Forecast01!K56,IF($B$5=Forecast01!$L$10,Forecast01!L56,IF($B$5=Forecast01!$M$10,Forecast01!M56))))))</f>
        <v>0</v>
      </c>
      <c r="C60" s="15" t="n">
        <f aca="false">IF($B$5=Forecast01!$H$10,Forecast01!H234,IF($B$5=Forecast01!$I$10,Forecast01!I234,IF($B$5=Forecast01!$J$10,Forecast01!J234,IF($B$5=Forecast01!$K$10,Forecast01!K234,IF($B$5=Forecast01!$L$10,Forecast01!L234,IF($B$5=Forecast01!$M$10,Forecast01!M234,0))))))</f>
        <v>0</v>
      </c>
    </row>
    <row r="61" customFormat="false" ht="12.75" hidden="false" customHeight="false" outlineLevel="0" collapsed="false">
      <c r="A61" s="14" t="s">
        <v>22</v>
      </c>
      <c r="B61" s="15" t="n">
        <f aca="false">IF($B$5=Forecast01!$H$10,Forecast01!H57,IF($B$5=Forecast01!$I$10,Forecast01!I57,IF($B$5=Forecast01!$J$10,Forecast01!J57,IF($B$5=Forecast01!$K$10,Forecast01!K57,IF($B$5=Forecast01!$L$10,Forecast01!L57,IF($B$5=Forecast01!$M$10,Forecast01!M57))))))</f>
        <v>10.6</v>
      </c>
      <c r="C61" s="18" t="n">
        <f aca="false">IF($B$5=Forecast01!$H$10,Forecast01!H235,IF($B$5=Forecast01!$I$10,Forecast01!I235,IF($B$5=Forecast01!$J$10,Forecast01!J235,IF($B$5=Forecast01!$K$10,Forecast01!K235,IF($B$5=Forecast01!$L$10,Forecast01!L235,IF($B$5=Forecast01!$M$10,Forecast01!M235,0))))))</f>
        <v>10.25232</v>
      </c>
    </row>
    <row r="62" customFormat="false" ht="12.75" hidden="false" customHeight="false" outlineLevel="0" collapsed="false">
      <c r="A62" s="11" t="s">
        <v>40</v>
      </c>
      <c r="B62" s="19" t="n">
        <f aca="false">SUM(B58:B61)</f>
        <v>278.09</v>
      </c>
      <c r="C62" s="20" t="n">
        <f aca="false">SUM(C57:C61)</f>
        <v>481.90182</v>
      </c>
    </row>
    <row r="63" customFormat="false" ht="12.75" hidden="false" customHeight="false" outlineLevel="0" collapsed="false">
      <c r="A63" s="11"/>
      <c r="B63" s="19"/>
      <c r="C63" s="29"/>
    </row>
    <row r="64" customFormat="false" ht="12.75" hidden="false" customHeight="false" outlineLevel="0" collapsed="false">
      <c r="A64" s="11" t="s">
        <v>41</v>
      </c>
      <c r="B64" s="13"/>
      <c r="C64" s="13"/>
    </row>
    <row r="65" customFormat="false" ht="12.75" hidden="false" customHeight="false" outlineLevel="0" collapsed="false">
      <c r="A65" s="14" t="s">
        <v>14</v>
      </c>
      <c r="B65" s="15" t="n">
        <f aca="false">IF($B$5=Forecast01!$H$10,Forecast01!H61,IF($B$5=Forecast01!$I$10,Forecast01!I61,IF($B$5=Forecast01!$J$10,Forecast01!J61,IF($B$5=Forecast01!$K$10,Forecast01!K61,IF($B$5=Forecast01!$L$10,Forecast01!L61,IF($B$5=Forecast01!$M$10,Forecast01!M61))))))</f>
        <v>40</v>
      </c>
      <c r="C65" s="15" t="n">
        <f aca="false">IF($B$5=Forecast01!$H$10,Forecast01!H239,IF($B$5=Forecast01!$I$10,Forecast01!I239,IF($B$5=Forecast01!$J$10,Forecast01!J239,IF($B$5=Forecast01!$K$10,Forecast01!K239,IF($B$5=Forecast01!$L$10,Forecast01!L239,IF($B$5=Forecast01!$M$10,Forecast01!M239,0))))))</f>
        <v>252.96</v>
      </c>
    </row>
    <row r="66" customFormat="false" ht="12.75" hidden="false" customHeight="false" outlineLevel="0" collapsed="false">
      <c r="A66" s="14" t="s">
        <v>18</v>
      </c>
      <c r="B66" s="15" t="n">
        <f aca="false">IF($B$5=Forecast01!$H$10,Forecast01!H62,IF($B$5=Forecast01!$I$10,Forecast01!I62,IF($B$5=Forecast01!$J$10,Forecast01!J62,IF($B$5=Forecast01!$K$10,Forecast01!K62,IF($B$5=Forecast01!$L$10,Forecast01!L62,IF($B$5=Forecast01!$M$10,Forecast01!M62))))))</f>
        <v>17.2</v>
      </c>
      <c r="C66" s="15" t="n">
        <f aca="false">IF($B$5=Forecast01!$H$10,Forecast01!H240,IF($B$5=Forecast01!$I$10,Forecast01!I240,IF($B$5=Forecast01!$J$10,Forecast01!J240,IF($B$5=Forecast01!$K$10,Forecast01!K240,IF($B$5=Forecast01!$L$10,Forecast01!L240,IF($B$5=Forecast01!$M$10,Forecast01!M240,0))))))</f>
        <v>7.550112</v>
      </c>
    </row>
    <row r="67" customFormat="false" ht="12.75" hidden="false" customHeight="false" outlineLevel="0" collapsed="false">
      <c r="A67" s="14" t="s">
        <v>20</v>
      </c>
      <c r="B67" s="15" t="n">
        <f aca="false">IF($B$5=Forecast01!$H$10,Forecast01!H63,IF($B$5=Forecast01!$I$10,Forecast01!I63,IF($B$5=Forecast01!$J$10,Forecast01!J63,IF($B$5=Forecast01!$K$10,Forecast01!K63,IF($B$5=Forecast01!$L$10,Forecast01!L63,IF($B$5=Forecast01!$M$10,Forecast01!M63))))))</f>
        <v>0</v>
      </c>
      <c r="C67" s="15" t="n">
        <f aca="false">IF($B$5=Forecast01!$H$10,Forecast01!H241,IF($B$5=Forecast01!$I$10,Forecast01!I241,IF($B$5=Forecast01!$J$10,Forecast01!J241,IF($B$5=Forecast01!$K$10,Forecast01!K241,IF($B$5=Forecast01!$L$10,Forecast01!L241,IF($B$5=Forecast01!$M$10,Forecast01!M241,0))))))</f>
        <v>0</v>
      </c>
    </row>
    <row r="68" customFormat="false" ht="12.75" hidden="false" customHeight="false" outlineLevel="0" collapsed="false">
      <c r="A68" s="14" t="s">
        <v>22</v>
      </c>
      <c r="B68" s="15" t="n">
        <f aca="false">IF($B$5=Forecast01!$H$10,Forecast01!H64,IF($B$5=Forecast01!$I$10,Forecast01!I64,IF($B$5=Forecast01!$J$10,Forecast01!J64,IF($B$5=Forecast01!$K$10,Forecast01!K64,IF($B$5=Forecast01!$L$10,Forecast01!L64,IF($B$5=Forecast01!$M$10,Forecast01!M64))))))</f>
        <v>0</v>
      </c>
      <c r="C68" s="15" t="n">
        <f aca="false">IF($B$5=Forecast01!$H$10,Forecast01!H242,IF($B$5=Forecast01!$I$10,Forecast01!I242,IF($B$5=Forecast01!$J$10,Forecast01!J242,IF($B$5=Forecast01!$K$10,Forecast01!K242,IF($B$5=Forecast01!$L$10,Forecast01!L242,IF($B$5=Forecast01!$M$10,Forecast01!M242,0))))))</f>
        <v>0</v>
      </c>
    </row>
    <row r="69" customFormat="false" ht="12.75" hidden="false" customHeight="false" outlineLevel="0" collapsed="false">
      <c r="A69" s="11" t="s">
        <v>42</v>
      </c>
      <c r="B69" s="19" t="n">
        <f aca="false">SUM(B66:B68)</f>
        <v>17.2</v>
      </c>
      <c r="C69" s="20" t="n">
        <f aca="false">SUM(C65:C68)</f>
        <v>260.510112</v>
      </c>
    </row>
    <row r="70" customFormat="false" ht="12.75" hidden="false" customHeight="false" outlineLevel="0" collapsed="false">
      <c r="A70" s="14"/>
      <c r="B70" s="19"/>
      <c r="C70" s="29"/>
    </row>
    <row r="71" customFormat="false" ht="12.75" hidden="false" customHeight="false" outlineLevel="0" collapsed="false">
      <c r="A71" s="11" t="s">
        <v>43</v>
      </c>
      <c r="B71" s="13"/>
      <c r="C71" s="13"/>
    </row>
    <row r="72" customFormat="false" ht="12.75" hidden="false" customHeight="false" outlineLevel="0" collapsed="false">
      <c r="A72" s="14" t="s">
        <v>14</v>
      </c>
      <c r="B72" s="15" t="n">
        <f aca="false">IF($B$5=Forecast01!$H$10,Forecast01!H68,IF($B$5=Forecast01!$I$10,Forecast01!I68,IF($B$5=Forecast01!$J$10,Forecast01!J68,IF($B$5=Forecast01!$K$10,Forecast01!K68,IF($B$5=Forecast01!$L$10,Forecast01!L68,IF($B$5=Forecast01!$M$10,Forecast01!M68))))))</f>
        <v>100</v>
      </c>
      <c r="C72" s="15" t="n">
        <f aca="false">IF($B$5=Forecast01!$H$10,Forecast01!H246,IF($B$5=Forecast01!$I$10,Forecast01!I246,IF($B$5=Forecast01!$J$10,Forecast01!J246,IF($B$5=Forecast01!$K$10,Forecast01!K246,IF($B$5=Forecast01!$L$10,Forecast01!L246,IF($B$5=Forecast01!$M$10,Forecast01!M246,0))))))</f>
        <v>463.4376</v>
      </c>
    </row>
    <row r="73" customFormat="false" ht="12.75" hidden="false" customHeight="false" outlineLevel="0" collapsed="false">
      <c r="A73" s="14" t="s">
        <v>18</v>
      </c>
      <c r="B73" s="15" t="n">
        <f aca="false">IF($B$5=Forecast01!$H$10,Forecast01!H69,IF($B$5=Forecast01!$I$10,Forecast01!I69,IF($B$5=Forecast01!$J$10,Forecast01!J69,IF($B$5=Forecast01!$K$10,Forecast01!K69,IF($B$5=Forecast01!$L$10,Forecast01!L69,IF($B$5=Forecast01!$M$10,Forecast01!M69))))))</f>
        <v>95</v>
      </c>
      <c r="C73" s="15" t="n">
        <f aca="false">IF($B$5=Forecast01!$H$10,Forecast01!H247,IF($B$5=Forecast01!$I$10,Forecast01!I247,IF($B$5=Forecast01!$J$10,Forecast01!J247,IF($B$5=Forecast01!$K$10,Forecast01!K247,IF($B$5=Forecast01!$L$10,Forecast01!L247,IF($B$5=Forecast01!$M$10,Forecast01!M247,0))))))</f>
        <v>35.8112</v>
      </c>
    </row>
    <row r="74" customFormat="false" ht="12.75" hidden="false" customHeight="false" outlineLevel="0" collapsed="false">
      <c r="A74" s="14" t="s">
        <v>20</v>
      </c>
      <c r="B74" s="15" t="n">
        <f aca="false">IF($B$5=Forecast01!$H$10,Forecast01!H70,IF($B$5=Forecast01!$I$10,Forecast01!I70,IF($B$5=Forecast01!$J$10,Forecast01!J70,IF($B$5=Forecast01!$K$10,Forecast01!K70,IF($B$5=Forecast01!$L$10,Forecast01!L70,IF($B$5=Forecast01!$M$10,Forecast01!M70))))))</f>
        <v>0</v>
      </c>
      <c r="C74" s="15" t="n">
        <f aca="false">IF($B$5=Forecast01!$H$10,Forecast01!H248,IF($B$5=Forecast01!$I$10,Forecast01!I248,IF($B$5=Forecast01!$J$10,Forecast01!J248,IF($B$5=Forecast01!$K$10,Forecast01!K248,IF($B$5=Forecast01!$L$10,Forecast01!L248,IF($B$5=Forecast01!$M$10,Forecast01!M248,0))))))</f>
        <v>0</v>
      </c>
    </row>
    <row r="75" customFormat="false" ht="12.75" hidden="false" customHeight="false" outlineLevel="0" collapsed="false">
      <c r="A75" s="14" t="s">
        <v>22</v>
      </c>
      <c r="B75" s="15" t="n">
        <f aca="false">IF($B$5=Forecast01!$H$10,Forecast01!H71,IF($B$5=Forecast01!$I$10,Forecast01!I71,IF($B$5=Forecast01!$J$10,Forecast01!J71,IF($B$5=Forecast01!$K$10,Forecast01!K71,IF($B$5=Forecast01!$L$10,Forecast01!L71,IF($B$5=Forecast01!$M$10,Forecast01!M71))))))</f>
        <v>8</v>
      </c>
      <c r="C75" s="18" t="n">
        <f aca="false">IF($B$5=Forecast01!$H$10,Forecast01!H249,IF($B$5=Forecast01!$I$10,Forecast01!I249,IF($B$5=Forecast01!$J$10,Forecast01!J249,IF($B$5=Forecast01!$K$10,Forecast01!K249,IF($B$5=Forecast01!$L$10,Forecast01!L249,IF($B$5=Forecast01!$M$10,Forecast01!M249,0))))))</f>
        <v>12.4</v>
      </c>
    </row>
    <row r="76" customFormat="false" ht="12.75" hidden="false" customHeight="false" outlineLevel="0" collapsed="false">
      <c r="A76" s="11" t="s">
        <v>44</v>
      </c>
      <c r="B76" s="30" t="n">
        <f aca="false">SUM(B73:B75)</f>
        <v>103</v>
      </c>
      <c r="C76" s="22" t="n">
        <f aca="false">SUM(C72:C75)</f>
        <v>511.6488</v>
      </c>
    </row>
    <row r="77" customFormat="false" ht="12.75" hidden="false" customHeight="false" outlineLevel="0" collapsed="false">
      <c r="A77" s="23" t="s">
        <v>45</v>
      </c>
      <c r="B77" s="30" t="n">
        <f aca="false">B72+B65+B57+B50</f>
        <v>749</v>
      </c>
      <c r="C77" s="20" t="n">
        <f aca="false">+C50+C57+C65+C72</f>
        <v>1110.929733</v>
      </c>
    </row>
    <row r="78" customFormat="false" ht="12.75" hidden="false" customHeight="false" outlineLevel="0" collapsed="false">
      <c r="A78" s="23" t="s">
        <v>46</v>
      </c>
      <c r="B78" s="30" t="n">
        <f aca="false">B54+B62+B69+B76</f>
        <v>398.29</v>
      </c>
      <c r="C78" s="25" t="n">
        <f aca="false">+C54+C62+C69+C76-C77</f>
        <v>143.130999</v>
      </c>
    </row>
    <row r="79" customFormat="false" ht="12.75" hidden="false" customHeight="false" outlineLevel="0" collapsed="false">
      <c r="A79" s="23" t="s">
        <v>47</v>
      </c>
      <c r="B79" s="24"/>
      <c r="C79" s="25" t="n">
        <f aca="false">SUM(C77:C78)</f>
        <v>1254.060732</v>
      </c>
    </row>
    <row r="80" customFormat="false" ht="12.75" hidden="false" customHeight="false" outlineLevel="0" collapsed="false">
      <c r="A80" s="27"/>
      <c r="B80" s="31"/>
      <c r="C80" s="28"/>
    </row>
    <row r="81" customFormat="false" ht="15.75" hidden="false" customHeight="false" outlineLevel="0" collapsed="false">
      <c r="A81" s="8" t="s">
        <v>48</v>
      </c>
      <c r="B81" s="31"/>
      <c r="C81" s="28"/>
    </row>
    <row r="82" customFormat="false" ht="12.75" hidden="false" customHeight="false" outlineLevel="0" collapsed="false">
      <c r="A82" s="11" t="s">
        <v>49</v>
      </c>
      <c r="B82" s="13"/>
      <c r="C82" s="32"/>
    </row>
    <row r="83" customFormat="false" ht="12.75" hidden="false" customHeight="false" outlineLevel="0" collapsed="false">
      <c r="A83" s="14" t="s">
        <v>14</v>
      </c>
      <c r="B83" s="15" t="n">
        <f aca="false">IF($B$5=Forecast01!$H$10,Forecast01!H78,IF($B$5=Forecast01!$I$10,Forecast01!I78,IF($B$5=Forecast01!$J$10,Forecast01!J78,IF($B$5=Forecast01!$K$10,Forecast01!K78,IF($B$5=Forecast01!$L$10,Forecast01!L78,IF($B$5=Forecast01!$M$10,Forecast01!M78))))))</f>
        <v>274</v>
      </c>
      <c r="C83" s="15" t="n">
        <f aca="false">IF($B$5=Forecast01!$H$10,Forecast01!H257,IF($B$5=Forecast01!$I$10,Forecast01!I257,IF($B$5=Forecast01!$J$10,Forecast01!J257,IF($B$5=Forecast01!$K$10,Forecast01!K257,IF($B$5=Forecast01!$L$10,Forecast01!L257,IF($B$5=Forecast01!$M$10,Forecast01!M257,0))))))</f>
        <v>383.9377776</v>
      </c>
    </row>
    <row r="84" customFormat="false" ht="12.75" hidden="false" customHeight="false" outlineLevel="0" collapsed="false">
      <c r="A84" s="14" t="s">
        <v>18</v>
      </c>
      <c r="B84" s="15" t="n">
        <f aca="false">IF($B$5=Forecast01!$H$10,Forecast01!H79,IF($B$5=Forecast01!$I$10,Forecast01!I79,IF($B$5=Forecast01!$J$10,Forecast01!J79,IF($B$5=Forecast01!$K$10,Forecast01!K79,IF($B$5=Forecast01!$L$10,Forecast01!L79,IF($B$5=Forecast01!$M$10,Forecast01!M79))))))</f>
        <v>229.064</v>
      </c>
      <c r="C84" s="15" t="n">
        <f aca="false">IF($B$5=Forecast01!$H$10,Forecast01!H258,IF($B$5=Forecast01!$I$10,Forecast01!I258,IF($B$5=Forecast01!$J$10,Forecast01!J258,IF($B$5=Forecast01!$K$10,Forecast01!K258,IF($B$5=Forecast01!$L$10,Forecast01!L258,IF($B$5=Forecast01!$M$10,Forecast01!M258,0))))))</f>
        <v>12.0872224</v>
      </c>
    </row>
    <row r="85" customFormat="false" ht="12.75" hidden="false" customHeight="false" outlineLevel="0" collapsed="false">
      <c r="A85" s="14" t="s">
        <v>20</v>
      </c>
      <c r="B85" s="15" t="n">
        <f aca="false">IF($B$5=Forecast01!$H$10,Forecast01!H80,IF($B$5=Forecast01!$I$10,Forecast01!I80,IF($B$5=Forecast01!$J$10,Forecast01!J80,IF($B$5=Forecast01!$K$10,Forecast01!K80,IF($B$5=Forecast01!$L$10,Forecast01!L80,IF($B$5=Forecast01!$M$10,Forecast01!M80))))))</f>
        <v>0</v>
      </c>
      <c r="C85" s="15" t="n">
        <f aca="false">IF($B$5=Forecast01!$H$10,Forecast01!H259,IF($B$5=Forecast01!$I$10,Forecast01!I259,IF($B$5=Forecast01!$J$10,Forecast01!J259,IF($B$5=Forecast01!$K$10,Forecast01!K259,IF($B$5=Forecast01!$L$10,Forecast01!L259,IF($B$5=Forecast01!$M$10,Forecast01!M259,0))))))</f>
        <v>0</v>
      </c>
    </row>
    <row r="86" customFormat="false" ht="12.75" hidden="false" customHeight="false" outlineLevel="0" collapsed="false">
      <c r="A86" s="14" t="s">
        <v>22</v>
      </c>
      <c r="B86" s="15" t="n">
        <f aca="false">IF($B$5=Forecast01!$H$10,Forecast01!H81,IF($B$5=Forecast01!$I$10,Forecast01!I81,IF($B$5=Forecast01!$J$10,Forecast01!J81,IF($B$5=Forecast01!$K$10,Forecast01!K81,IF($B$5=Forecast01!$L$10,Forecast01!L81,IF($B$5=Forecast01!$M$10,Forecast01!M81))))))</f>
        <v>43</v>
      </c>
      <c r="C86" s="18" t="n">
        <f aca="false">IF($B$5=Forecast01!$H$10,Forecast01!H260,IF($B$5=Forecast01!$I$10,Forecast01!I260,IF($B$5=Forecast01!$J$10,Forecast01!J260,IF($B$5=Forecast01!$K$10,Forecast01!K260,IF($B$5=Forecast01!$L$10,Forecast01!L260,IF($B$5=Forecast01!$M$10,Forecast01!M260,0))))))</f>
        <v>39.99</v>
      </c>
    </row>
    <row r="87" customFormat="false" ht="12.75" hidden="false" customHeight="false" outlineLevel="0" collapsed="false">
      <c r="A87" s="11" t="s">
        <v>50</v>
      </c>
      <c r="B87" s="19" t="n">
        <f aca="false">SUM(B84:B86)</f>
        <v>272.064</v>
      </c>
      <c r="C87" s="20" t="n">
        <f aca="false">SUM(C83:C86)</f>
        <v>436.015</v>
      </c>
    </row>
    <row r="88" customFormat="false" ht="12.75" hidden="false" customHeight="false" outlineLevel="0" collapsed="false">
      <c r="A88" s="14"/>
      <c r="B88" s="19"/>
      <c r="C88" s="28"/>
    </row>
    <row r="89" customFormat="false" ht="12.75" hidden="false" customHeight="false" outlineLevel="0" collapsed="false">
      <c r="A89" s="11" t="s">
        <v>51</v>
      </c>
      <c r="B89" s="13"/>
      <c r="C89" s="32"/>
    </row>
    <row r="90" customFormat="false" ht="12.75" hidden="false" customHeight="false" outlineLevel="0" collapsed="false">
      <c r="A90" s="14" t="s">
        <v>14</v>
      </c>
      <c r="B90" s="15" t="n">
        <f aca="false">IF($B$5=Forecast01!$H$10,Forecast01!H85,IF($B$5=Forecast01!$I$10,Forecast01!I85,IF($B$5=Forecast01!$J$10,Forecast01!J85,IF($B$5=Forecast01!$K$10,Forecast01!K85,IF($B$5=Forecast01!$L$10,Forecast01!L85,IF($B$5=Forecast01!$M$10,Forecast01!M85))))))</f>
        <v>261.7</v>
      </c>
      <c r="C90" s="15" t="n">
        <f aca="false">IF($B$5=Forecast01!$H$10,Forecast01!H264,IF($B$5=Forecast01!$I$10,Forecast01!I264,IF($B$5=Forecast01!$J$10,Forecast01!J264,IF($B$5=Forecast01!$K$10,Forecast01!K264,IF($B$5=Forecast01!$L$10,Forecast01!L264,IF($B$5=Forecast01!$M$10,Forecast01!M264,0))))))</f>
        <v>287.77642705</v>
      </c>
    </row>
    <row r="91" customFormat="false" ht="12.75" hidden="false" customHeight="false" outlineLevel="0" collapsed="false">
      <c r="A91" s="14" t="s">
        <v>18</v>
      </c>
      <c r="B91" s="15" t="n">
        <f aca="false">IF($B$5=Forecast01!$H$10,Forecast01!H86,IF($B$5=Forecast01!$I$10,Forecast01!I86,IF($B$5=Forecast01!$J$10,Forecast01!J86,IF($B$5=Forecast01!$K$10,Forecast01!K86,IF($B$5=Forecast01!$L$10,Forecast01!L86,IF($B$5=Forecast01!$M$10,Forecast01!M86))))))</f>
        <v>194.9665</v>
      </c>
      <c r="C91" s="15" t="n">
        <f aca="false">IF($B$5=Forecast01!$H$10,Forecast01!H265,IF($B$5=Forecast01!$I$10,Forecast01!I265,IF($B$5=Forecast01!$J$10,Forecast01!J265,IF($B$5=Forecast01!$K$10,Forecast01!K265,IF($B$5=Forecast01!$L$10,Forecast01!L265,IF($B$5=Forecast01!$M$10,Forecast01!M265,0))))))</f>
        <v>19.94507295</v>
      </c>
    </row>
    <row r="92" customFormat="false" ht="12.75" hidden="false" customHeight="false" outlineLevel="0" collapsed="false">
      <c r="A92" s="14" t="s">
        <v>20</v>
      </c>
      <c r="B92" s="15" t="n">
        <f aca="false">IF($B$5=Forecast01!$H$10,Forecast01!H87,IF($B$5=Forecast01!$I$10,Forecast01!I87,IF($B$5=Forecast01!$J$10,Forecast01!J87,IF($B$5=Forecast01!$K$10,Forecast01!K87,IF($B$5=Forecast01!$L$10,Forecast01!L87,IF($B$5=Forecast01!$M$10,Forecast01!M87))))))</f>
        <v>0</v>
      </c>
      <c r="C92" s="15" t="n">
        <f aca="false">IF($B$5=Forecast01!$H$10,Forecast01!H266,IF($B$5=Forecast01!$I$10,Forecast01!I266,IF($B$5=Forecast01!$J$10,Forecast01!J266,IF($B$5=Forecast01!$K$10,Forecast01!K266,IF($B$5=Forecast01!$L$10,Forecast01!L266,IF($B$5=Forecast01!$M$10,Forecast01!M266,0))))))</f>
        <v>0</v>
      </c>
    </row>
    <row r="93" customFormat="false" ht="12.75" hidden="false" customHeight="false" outlineLevel="0" collapsed="false">
      <c r="A93" s="14" t="s">
        <v>22</v>
      </c>
      <c r="B93" s="15" t="n">
        <f aca="false">IF($B$5=Forecast01!$H$10,Forecast01!H88,IF($B$5=Forecast01!$I$10,Forecast01!I88,IF($B$5=Forecast01!$J$10,Forecast01!J88,IF($B$5=Forecast01!$K$10,Forecast01!K88,IF($B$5=Forecast01!$L$10,Forecast01!L88,IF($B$5=Forecast01!$M$10,Forecast01!M88))))))</f>
        <v>26</v>
      </c>
      <c r="C93" s="18" t="n">
        <f aca="false">IF($B$5=Forecast01!$H$10,Forecast01!H267,IF($B$5=Forecast01!$I$10,Forecast01!I267,IF($B$5=Forecast01!$J$10,Forecast01!J267,IF($B$5=Forecast01!$K$10,Forecast01!K267,IF($B$5=Forecast01!$L$10,Forecast01!L267,IF($B$5=Forecast01!$M$10,Forecast01!M267,0))))))</f>
        <v>12.1706</v>
      </c>
    </row>
    <row r="94" customFormat="false" ht="12.75" hidden="false" customHeight="false" outlineLevel="0" collapsed="false">
      <c r="A94" s="11" t="s">
        <v>52</v>
      </c>
      <c r="B94" s="30" t="n">
        <f aca="false">SUM(B91:B93)</f>
        <v>220.9665</v>
      </c>
      <c r="C94" s="33" t="n">
        <f aca="false">SUM(C90:C93)</f>
        <v>319.8921</v>
      </c>
    </row>
    <row r="95" customFormat="false" ht="12.75" hidden="false" customHeight="false" outlineLevel="0" collapsed="false">
      <c r="A95" s="23" t="s">
        <v>53</v>
      </c>
      <c r="B95" s="30" t="n">
        <f aca="false">B90+B83</f>
        <v>535.7</v>
      </c>
      <c r="C95" s="33" t="n">
        <f aca="false">+C83+C90</f>
        <v>671.71420465</v>
      </c>
    </row>
    <row r="96" customFormat="false" ht="12.75" hidden="false" customHeight="false" outlineLevel="0" collapsed="false">
      <c r="A96" s="23" t="s">
        <v>54</v>
      </c>
      <c r="B96" s="30" t="n">
        <f aca="false">B94+B87</f>
        <v>493.0305</v>
      </c>
      <c r="C96" s="28" t="n">
        <f aca="false">+C87+C94-C95</f>
        <v>84.19289535</v>
      </c>
    </row>
    <row r="97" customFormat="false" ht="12.75" hidden="false" customHeight="false" outlineLevel="0" collapsed="false">
      <c r="A97" s="23" t="s">
        <v>55</v>
      </c>
      <c r="B97" s="24"/>
      <c r="C97" s="25" t="n">
        <f aca="false">SUM(C95:C96)</f>
        <v>755.9071</v>
      </c>
    </row>
    <row r="98" customFormat="false" ht="12.75" hidden="false" customHeight="false" outlineLevel="0" collapsed="false">
      <c r="A98" s="27"/>
      <c r="B98" s="34"/>
      <c r="C98" s="28"/>
    </row>
    <row r="99" customFormat="false" ht="15.75" hidden="false" customHeight="false" outlineLevel="0" collapsed="false">
      <c r="A99" s="8" t="s">
        <v>56</v>
      </c>
      <c r="B99" s="34"/>
      <c r="C99" s="28"/>
    </row>
    <row r="100" customFormat="false" ht="12.75" hidden="false" customHeight="false" outlineLevel="0" collapsed="false">
      <c r="A100" s="11" t="s">
        <v>57</v>
      </c>
      <c r="B100" s="13"/>
      <c r="C100" s="32"/>
    </row>
    <row r="101" customFormat="false" ht="12.75" hidden="false" customHeight="false" outlineLevel="0" collapsed="false">
      <c r="A101" s="14" t="s">
        <v>14</v>
      </c>
      <c r="B101" s="15" t="n">
        <f aca="false">IF($B$5=Forecast01!$H$10,Forecast01!H95,IF($B$5=Forecast01!$I$10,Forecast01!I95,IF($B$5=Forecast01!$J$10,Forecast01!J95,IF($B$5=Forecast01!$K$10,Forecast01!K95,IF($B$5=Forecast01!$L$10,Forecast01!L95,IF($B$5=Forecast01!$M$10,Forecast01!M95))))))</f>
        <v>465</v>
      </c>
      <c r="C101" s="15" t="n">
        <f aca="false">IF($B$5=Forecast01!$H$10,Forecast01!H275,IF($B$5=Forecast01!$I$10,Forecast01!I275,IF($B$5=Forecast01!$J$10,Forecast01!J275,IF($B$5=Forecast01!$K$10,Forecast01!K275,IF($B$5=Forecast01!$L$10,Forecast01!L275,IF($B$5=Forecast01!$M$10,Forecast01!M275,0))))))</f>
        <v>1516.458</v>
      </c>
    </row>
    <row r="102" customFormat="false" ht="12.75" hidden="false" customHeight="false" outlineLevel="0" collapsed="false">
      <c r="A102" s="14" t="s">
        <v>18</v>
      </c>
      <c r="B102" s="15" t="n">
        <f aca="false">IF($B$5=Forecast01!$H$10,Forecast01!H96,IF($B$5=Forecast01!$I$10,Forecast01!I96,IF($B$5=Forecast01!$J$10,Forecast01!J96,IF($B$5=Forecast01!$K$10,Forecast01!K96,IF($B$5=Forecast01!$L$10,Forecast01!L96,IF($B$5=Forecast01!$M$10,Forecast01!M96))))))</f>
        <v>425.475</v>
      </c>
      <c r="C102" s="15" t="n">
        <f aca="false">IF($B$5=Forecast01!$H$10,Forecast01!H276,IF($B$5=Forecast01!$I$10,Forecast01!I276,IF($B$5=Forecast01!$J$10,Forecast01!J276,IF($B$5=Forecast01!$K$10,Forecast01!K276,IF($B$5=Forecast01!$L$10,Forecast01!L276,IF($B$5=Forecast01!$M$10,Forecast01!M276,0))))))</f>
        <v>14.5086975</v>
      </c>
    </row>
    <row r="103" customFormat="false" ht="12.75" hidden="false" customHeight="false" outlineLevel="0" collapsed="false">
      <c r="A103" s="35" t="s">
        <v>58</v>
      </c>
      <c r="B103" s="15" t="n">
        <f aca="false">IF($B$5=Forecast01!$H$10,Forecast01!H97,IF($B$5=Forecast01!$I$10,Forecast01!I97,IF($B$5=Forecast01!$J$10,Forecast01!J97,IF($B$5=Forecast01!$K$10,Forecast01!K97,IF($B$5=Forecast01!$L$10,Forecast01!L97,IF($B$5=Forecast01!$M$10,Forecast01!M97))))))</f>
        <v>0</v>
      </c>
      <c r="C103" s="15" t="n">
        <f aca="false">IF($B$5=Forecast01!$H$10,Forecast01!H277,IF($B$5=Forecast01!$I$10,Forecast01!I277,IF($B$5=Forecast01!$J$10,Forecast01!J277,IF($B$5=Forecast01!$K$10,Forecast01!K277,IF($B$5=Forecast01!$L$10,Forecast01!L277,IF($B$5=Forecast01!$M$10,Forecast01!M277,0))))))</f>
        <v>0</v>
      </c>
    </row>
    <row r="104" customFormat="false" ht="12.75" hidden="false" customHeight="false" outlineLevel="0" collapsed="false">
      <c r="A104" s="14" t="s">
        <v>22</v>
      </c>
      <c r="B104" s="15" t="n">
        <f aca="false">IF($B$5=Forecast01!$H$10,Forecast01!H98,IF($B$5=Forecast01!$I$10,Forecast01!I98,IF($B$5=Forecast01!$J$10,Forecast01!J98,IF($B$5=Forecast01!$K$10,Forecast01!K98,IF($B$5=Forecast01!$L$10,Forecast01!L98,IF($B$5=Forecast01!$M$10,Forecast01!M98))))))</f>
        <v>0</v>
      </c>
      <c r="C104" s="18" t="n">
        <f aca="false">IF($B$5=Forecast01!$H$10,Forecast01!H278,IF($B$5=Forecast01!$I$10,Forecast01!I278,IF($B$5=Forecast01!$J$10,Forecast01!J278,IF($B$5=Forecast01!$K$10,Forecast01!K278,IF($B$5=Forecast01!$L$10,Forecast01!L278,IF($B$5=Forecast01!$M$10,Forecast01!M278,0))))))</f>
        <v>0</v>
      </c>
    </row>
    <row r="105" customFormat="false" ht="12.75" hidden="false" customHeight="false" outlineLevel="0" collapsed="false">
      <c r="A105" s="23" t="s">
        <v>59</v>
      </c>
      <c r="B105" s="30" t="n">
        <f aca="false">B101</f>
        <v>465</v>
      </c>
      <c r="C105" s="33" t="n">
        <f aca="false">+C101</f>
        <v>1516.458</v>
      </c>
    </row>
    <row r="106" customFormat="false" ht="12.75" hidden="false" customHeight="false" outlineLevel="0" collapsed="false">
      <c r="A106" s="23" t="s">
        <v>60</v>
      </c>
      <c r="B106" s="30" t="n">
        <f aca="false">B102</f>
        <v>425.475</v>
      </c>
      <c r="C106" s="33" t="n">
        <f aca="false">SUM(C102:C104)</f>
        <v>14.5086975</v>
      </c>
    </row>
    <row r="107" customFormat="false" ht="12.75" hidden="false" customHeight="false" outlineLevel="0" collapsed="false">
      <c r="A107" s="23" t="s">
        <v>61</v>
      </c>
      <c r="B107" s="30" t="n">
        <f aca="false">+B101+B72+B38+B65+B31</f>
        <v>848.6</v>
      </c>
      <c r="C107" s="33" t="n">
        <f aca="false">SUM(C101:C104)</f>
        <v>1530.9666975</v>
      </c>
    </row>
    <row r="108" customFormat="false" ht="12.75" hidden="false" customHeight="false" outlineLevel="0" collapsed="false">
      <c r="A108" s="27"/>
      <c r="B108" s="36"/>
      <c r="C108" s="28"/>
    </row>
    <row r="109" customFormat="false" ht="12.75" hidden="false" customHeight="false" outlineLevel="0" collapsed="false">
      <c r="A109" s="13"/>
      <c r="B109" s="31"/>
      <c r="C109" s="32"/>
    </row>
    <row r="110" customFormat="false" ht="15.75" hidden="false" customHeight="false" outlineLevel="0" collapsed="false">
      <c r="A110" s="37" t="s">
        <v>62</v>
      </c>
      <c r="B110" s="38"/>
      <c r="C110" s="38"/>
    </row>
    <row r="111" customFormat="false" ht="12.75" hidden="false" customHeight="false" outlineLevel="0" collapsed="false">
      <c r="A111" s="39" t="s">
        <v>14</v>
      </c>
      <c r="B111" s="21" t="n">
        <f aca="false">B105+B95+B77+B44</f>
        <v>2837.6</v>
      </c>
      <c r="C111" s="21" t="n">
        <f aca="false">+C44+C77+C95+C105</f>
        <v>12202.43184005</v>
      </c>
    </row>
    <row r="112" customFormat="false" ht="12.75" hidden="false" customHeight="false" outlineLevel="0" collapsed="false">
      <c r="A112" s="39" t="s">
        <v>18</v>
      </c>
      <c r="B112" s="21" t="n">
        <f aca="false">B16+B24+B32+B39+B51+B58+B66+B73+B84+B91+B102</f>
        <v>2194.58530645161</v>
      </c>
      <c r="C112" s="21" t="n">
        <f aca="false">C102+C91+C84+C73+C66+C58+C51+C39+C32+C24+C16</f>
        <v>953.08572985</v>
      </c>
    </row>
    <row r="113" customFormat="false" ht="12.75" hidden="false" customHeight="false" outlineLevel="0" collapsed="false">
      <c r="A113" s="39" t="s">
        <v>20</v>
      </c>
      <c r="B113" s="21" t="n">
        <f aca="false">B103+B92+B85+B74+B67+B59+B52+B40+B25+B17+B33</f>
        <v>0</v>
      </c>
      <c r="C113" s="21" t="n">
        <f aca="false">C103+C92+C85+C74+C67+C59+C52+C40+C25+C17+C33</f>
        <v>0</v>
      </c>
    </row>
    <row r="114" customFormat="false" ht="12.75" hidden="false" customHeight="false" outlineLevel="0" collapsed="false">
      <c r="A114" s="39" t="s">
        <v>63</v>
      </c>
      <c r="B114" s="21" t="n">
        <f aca="false">B60</f>
        <v>0</v>
      </c>
      <c r="C114" s="21" t="n">
        <f aca="false">C60</f>
        <v>0</v>
      </c>
    </row>
    <row r="115" customFormat="false" ht="12.75" hidden="false" customHeight="false" outlineLevel="0" collapsed="false">
      <c r="A115" s="39" t="s">
        <v>64</v>
      </c>
      <c r="B115" s="21" t="n">
        <f aca="false">B41+B26</f>
        <v>0</v>
      </c>
      <c r="C115" s="21" t="n">
        <f aca="false">C41+C26</f>
        <v>0</v>
      </c>
    </row>
    <row r="116" customFormat="false" ht="12.75" hidden="false" customHeight="false" outlineLevel="0" collapsed="false">
      <c r="A116" s="39" t="s">
        <v>22</v>
      </c>
      <c r="B116" s="18" t="n">
        <f aca="false">+B18+B27+B34+B42+B53+B61+B68+B75+B86+B93+B104</f>
        <v>122.6</v>
      </c>
      <c r="C116" s="18" t="n">
        <f aca="false">+C18+C27+C34+C42+C53+C61+C68+C75+C86+C93+C104</f>
        <v>96.51292</v>
      </c>
    </row>
    <row r="117" customFormat="false" ht="12.75" hidden="false" customHeight="false" outlineLevel="0" collapsed="false">
      <c r="A117" s="23" t="s">
        <v>65</v>
      </c>
      <c r="B117" s="30" t="n">
        <f aca="false">B111</f>
        <v>2837.6</v>
      </c>
      <c r="C117" s="30" t="n">
        <f aca="false">+C111</f>
        <v>12202.43184005</v>
      </c>
    </row>
    <row r="118" customFormat="false" ht="12.75" hidden="false" customHeight="false" outlineLevel="0" collapsed="false">
      <c r="A118" s="23" t="s">
        <v>66</v>
      </c>
      <c r="B118" s="30" t="n">
        <f aca="false">+B112+B113+B114+B115+B116</f>
        <v>2317.18530645161</v>
      </c>
      <c r="C118" s="30" t="n">
        <f aca="false">SUM(C112:C116)</f>
        <v>1049.59864985</v>
      </c>
    </row>
    <row r="119" customFormat="false" ht="12.75" hidden="false" customHeight="false" outlineLevel="0" collapsed="false">
      <c r="A119" s="23" t="s">
        <v>67</v>
      </c>
      <c r="B119" s="30" t="n">
        <f aca="false">B45+B78+B94</f>
        <v>1619.64630645161</v>
      </c>
      <c r="C119" s="30" t="n">
        <f aca="false">SUM(C117:C118)</f>
        <v>13252.0304899</v>
      </c>
    </row>
    <row r="120" customFormat="false" ht="12.75" hidden="false" customHeight="false" outlineLevel="0" collapsed="false">
      <c r="A120" s="27"/>
      <c r="B120" s="36"/>
      <c r="C120" s="32"/>
    </row>
    <row r="121" customFormat="false" ht="12.75" hidden="false" customHeight="false" outlineLevel="0" collapsed="false">
      <c r="B121" s="40"/>
    </row>
    <row r="122" customFormat="false" ht="15.75" hidden="false" customHeight="false" outlineLevel="0" collapsed="false">
      <c r="A122" s="8" t="s">
        <v>68</v>
      </c>
      <c r="B122" s="40"/>
    </row>
    <row r="123" customFormat="false" ht="12.75" hidden="false" customHeight="false" outlineLevel="0" collapsed="false">
      <c r="A123" s="41" t="s">
        <v>69</v>
      </c>
      <c r="B123" s="40"/>
    </row>
    <row r="124" customFormat="false" ht="12.75" hidden="false" customHeight="false" outlineLevel="0" collapsed="false">
      <c r="A124" s="42" t="s">
        <v>70</v>
      </c>
      <c r="B124" s="40"/>
      <c r="C124" s="15" t="n">
        <f aca="false">IF($B$5=Forecast01!$H$10,Forecast01!H298,IF($B$5=Forecast01!$I$10,Forecast01!I298,IF($B$5=Forecast01!$J$10,Forecast01!J298,IF($B$5=Forecast01!$K$10,Forecast01!K298,IF($B$5=Forecast01!$L$10,Forecast01!L298,IF($B$5=Forecast01!$M$10,Forecast01!M298))))))</f>
        <v>99.9099</v>
      </c>
    </row>
    <row r="125" customFormat="false" ht="12.75" hidden="false" customHeight="false" outlineLevel="0" collapsed="false">
      <c r="A125" s="32" t="s">
        <v>71</v>
      </c>
      <c r="B125" s="40"/>
      <c r="C125" s="15" t="n">
        <f aca="false">IF($B$5=Forecast01!$H$10,Forecast01!H299,IF($B$5=Forecast01!$I$10,Forecast01!I299,IF($B$5=Forecast01!$J$10,Forecast01!J299,IF($B$5=Forecast01!$K$10,Forecast01!K299,IF($B$5=Forecast01!$L$10,Forecast01!L299,IF($B$5=Forecast01!$M$10,Forecast01!M299))))))</f>
        <v>71.137766088</v>
      </c>
    </row>
    <row r="126" customFormat="false" ht="12.75" hidden="false" customHeight="false" outlineLevel="0" collapsed="false">
      <c r="A126" s="42" t="s">
        <v>72</v>
      </c>
      <c r="B126" s="40"/>
      <c r="C126" s="15" t="n">
        <f aca="false">IF($B$5=Forecast01!$H$10,Forecast01!H300,IF($B$5=Forecast01!$I$10,Forecast01!I300,IF($B$5=Forecast01!$J$10,Forecast01!J300,IF($B$5=Forecast01!$K$10,Forecast01!K300,IF($B$5=Forecast01!$L$10,Forecast01!L300,IF($B$5=Forecast01!$M$10,Forecast01!M300))))))</f>
        <v>337.1105278</v>
      </c>
    </row>
    <row r="127" customFormat="false" ht="12.75" hidden="false" customHeight="false" outlineLevel="0" collapsed="false">
      <c r="A127" s="42" t="s">
        <v>73</v>
      </c>
      <c r="B127" s="40"/>
      <c r="C127" s="18" t="n">
        <f aca="false">IF($B$5=Forecast01!$H$10,Forecast01!H301,IF($B$5=Forecast01!$I$10,Forecast01!I301,IF($B$5=Forecast01!$J$10,Forecast01!J301,IF($B$5=Forecast01!$K$10,Forecast01!K301,IF($B$5=Forecast01!$L$10,Forecast01!L301,IF($B$5=Forecast01!$M$10,Forecast01!M301))))))</f>
        <v>-2818</v>
      </c>
    </row>
    <row r="128" customFormat="false" ht="12.75" hidden="false" customHeight="false" outlineLevel="0" collapsed="false">
      <c r="A128" s="35" t="s">
        <v>74</v>
      </c>
      <c r="B128" s="40"/>
      <c r="C128" s="43" t="n">
        <f aca="false">SUM(C124:C127)</f>
        <v>-2309.841806112</v>
      </c>
    </row>
    <row r="129" customFormat="false" ht="12.75" hidden="false" customHeight="false" outlineLevel="0" collapsed="false">
      <c r="A129" s="44"/>
      <c r="B129" s="40"/>
    </row>
    <row r="131" customFormat="false" ht="12.75" hidden="false" customHeight="false" outlineLevel="0" collapsed="false">
      <c r="A131" s="2" t="s">
        <v>75</v>
      </c>
      <c r="C131" s="45" t="n">
        <f aca="false">IF($B$5=Forecast01!$H$10,Forecast01!H381,IF($B$5=Forecast01!$I$10,Forecast01!I381,IF($B$5=Forecast01!$J$10,Forecast01!J381,IF($B$5=Forecast01!$K$10,Forecast01!K381,IF($B$5=Forecast01!$L$10,Forecast01!L381,IF($B$5=Forecast01!$M$10,Forecast01!M381))))))</f>
        <v>2.28</v>
      </c>
    </row>
    <row r="133" customFormat="false" ht="12.75" hidden="false" customHeight="false" outlineLevel="0" collapsed="false">
      <c r="A133" s="2" t="s">
        <v>76</v>
      </c>
      <c r="C133" s="46" t="n">
        <f aca="false">IF($B$5=Forecast01!$H$10,Forecast01!H378,IF($B$5=Forecast01!$I$10,Forecast01!I378,IF($B$5=Forecast01!$J$10,Forecast01!J378,IF($B$5=Forecast01!$K$10,Forecast01!K378,IF($B$5=Forecast01!$L$10,Forecast01!L378,IF($B$5=Forecast01!$M$10,Forecast01!M378))))))</f>
        <v>-904</v>
      </c>
    </row>
    <row r="135" customFormat="false" ht="12.75" hidden="false" customHeight="false" outlineLevel="0" collapsed="false">
      <c r="A135" s="2" t="s">
        <v>77</v>
      </c>
      <c r="C135" s="47" t="n">
        <f aca="false">10100/12</f>
        <v>841.666666666667</v>
      </c>
    </row>
    <row r="138" customFormat="false" ht="12.75" hidden="false" customHeight="false" outlineLevel="0" collapsed="false">
      <c r="A138" s="2" t="s">
        <v>78</v>
      </c>
      <c r="C138" s="48"/>
      <c r="D138" s="49"/>
      <c r="E138" s="49"/>
      <c r="F138" s="49"/>
      <c r="G138" s="49"/>
    </row>
    <row r="139" customFormat="false" ht="13.5" hidden="false" customHeight="false" outlineLevel="0" collapsed="false">
      <c r="A139" s="50" t="s">
        <v>79</v>
      </c>
      <c r="C139" s="51" t="n">
        <f aca="false">IF($B$5="April",20,0)</f>
        <v>0</v>
      </c>
      <c r="D139" s="49"/>
      <c r="E139" s="49"/>
      <c r="F139" s="49"/>
    </row>
    <row r="140" customFormat="false" ht="13.5" hidden="false" customHeight="false" outlineLevel="0" collapsed="false">
      <c r="A140" s="50" t="s">
        <v>80</v>
      </c>
      <c r="C140" s="51" t="n">
        <f aca="false">IF($B$5="April",1,0)</f>
        <v>0</v>
      </c>
      <c r="D140" s="49"/>
      <c r="E140" s="49"/>
      <c r="F140" s="49"/>
    </row>
    <row r="141" customFormat="false" ht="13.5" hidden="false" customHeight="false" outlineLevel="0" collapsed="false">
      <c r="A141" s="50" t="s">
        <v>81</v>
      </c>
      <c r="C141" s="51" t="n">
        <f aca="false">IF($B$5="April",13.85,0)</f>
        <v>0</v>
      </c>
      <c r="D141" s="49"/>
      <c r="E141" s="49"/>
      <c r="F141" s="49"/>
    </row>
    <row r="142" customFormat="false" ht="11.25" hidden="false" customHeight="true" outlineLevel="0" collapsed="false">
      <c r="A142" s="1" t="s">
        <v>82</v>
      </c>
      <c r="C142" s="51" t="n">
        <v>0</v>
      </c>
    </row>
    <row r="143" customFormat="false" ht="12.75" hidden="false" customHeight="false" outlineLevel="0" collapsed="false">
      <c r="A143" s="52" t="s">
        <v>83</v>
      </c>
      <c r="C143" s="51" t="n">
        <f aca="false">IF($B$5="April",23.2,0)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A122"/>
  <sheetViews>
    <sheetView showFormulas="false" showGridLines="true" showRowColHeaders="true" showZeros="true" rightToLeft="false" tabSelected="false" showOutlineSymbols="true" defaultGridColor="true" view="normal" topLeftCell="O1" colorId="64" zoomScale="75" zoomScaleNormal="75" zoomScalePageLayoutView="100" workbookViewId="0">
      <pane xSplit="0" ySplit="5" topLeftCell="BM6" activePane="bottomLeft" state="frozen"/>
      <selection pane="topLeft" activeCell="O1" activeCellId="0" sqref="O1"/>
      <selection pane="bottomLeft" activeCell="T43" activeCellId="0" sqref="T43"/>
    </sheetView>
  </sheetViews>
  <sheetFormatPr defaultColWidth="20.9921875" defaultRowHeight="12.75" customHeight="true" zeroHeight="false" outlineLevelRow="0" outlineLevelCol="0"/>
  <cols>
    <col collapsed="false" customWidth="false" hidden="false" outlineLevel="0" max="5" min="1" style="294" width="20.98"/>
    <col collapsed="false" customWidth="true" hidden="false" outlineLevel="0" max="6" min="6" style="294" width="40.38"/>
    <col collapsed="false" customWidth="false" hidden="false" outlineLevel="0" max="24" min="7" style="294" width="20.98"/>
    <col collapsed="false" customWidth="true" hidden="false" outlineLevel="0" max="25" min="25" style="294" width="8.98"/>
    <col collapsed="false" customWidth="false" hidden="false" outlineLevel="0" max="257" min="26" style="294" width="20.98"/>
  </cols>
  <sheetData>
    <row r="2" customFormat="false" ht="12.75" hidden="false" customHeight="true" outlineLevel="0" collapsed="false">
      <c r="K2" s="360" t="n">
        <v>31</v>
      </c>
      <c r="L2" s="360" t="n">
        <v>28</v>
      </c>
      <c r="M2" s="360" t="n">
        <v>31</v>
      </c>
      <c r="N2" s="360" t="n">
        <v>30</v>
      </c>
      <c r="O2" s="360" t="n">
        <v>31</v>
      </c>
      <c r="P2" s="360" t="n">
        <v>30</v>
      </c>
      <c r="Q2" s="360" t="n">
        <v>31</v>
      </c>
      <c r="R2" s="360" t="n">
        <v>31</v>
      </c>
      <c r="S2" s="360" t="n">
        <v>30</v>
      </c>
      <c r="T2" s="360" t="n">
        <v>31</v>
      </c>
      <c r="U2" s="360" t="n">
        <v>30</v>
      </c>
      <c r="V2" s="360" t="n">
        <v>31</v>
      </c>
    </row>
    <row r="3" customFormat="false" ht="12.75" hidden="false" customHeight="true" outlineLevel="0" collapsed="false"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</row>
    <row r="4" customFormat="false" ht="12.75" hidden="false" customHeight="true" outlineLevel="0" collapsed="false"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</row>
    <row r="5" customFormat="false" ht="12.75" hidden="false" customHeight="true" outlineLevel="0" collapsed="false">
      <c r="K5" s="360" t="s">
        <v>233</v>
      </c>
      <c r="L5" s="360" t="s">
        <v>234</v>
      </c>
      <c r="M5" s="360" t="s">
        <v>98</v>
      </c>
      <c r="N5" s="360" t="s">
        <v>99</v>
      </c>
      <c r="O5" s="360" t="s">
        <v>100</v>
      </c>
      <c r="P5" s="360" t="s">
        <v>101</v>
      </c>
      <c r="Q5" s="360" t="s">
        <v>102</v>
      </c>
      <c r="R5" s="360" t="s">
        <v>239</v>
      </c>
      <c r="S5" s="360" t="s">
        <v>326</v>
      </c>
      <c r="T5" s="360" t="s">
        <v>241</v>
      </c>
      <c r="U5" s="360" t="s">
        <v>242</v>
      </c>
      <c r="V5" s="360" t="s">
        <v>243</v>
      </c>
      <c r="W5" s="294" t="s">
        <v>244</v>
      </c>
      <c r="Z5" s="294" t="s">
        <v>499</v>
      </c>
      <c r="AA5" s="294" t="s">
        <v>244</v>
      </c>
    </row>
    <row r="6" customFormat="false" ht="12.75" hidden="false" customHeight="true" outlineLevel="0" collapsed="false">
      <c r="A6" s="294" t="s">
        <v>500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>
      <c r="A9" s="294" t="s">
        <v>334</v>
      </c>
      <c r="B9" s="294" t="s">
        <v>335</v>
      </c>
      <c r="C9" s="294" t="s">
        <v>478</v>
      </c>
      <c r="D9" s="294" t="s">
        <v>336</v>
      </c>
      <c r="E9" s="359" t="s">
        <v>337</v>
      </c>
      <c r="F9" s="294" t="s">
        <v>338</v>
      </c>
      <c r="G9" s="294" t="s">
        <v>339</v>
      </c>
      <c r="H9" s="359" t="s">
        <v>340</v>
      </c>
      <c r="I9" s="360" t="s">
        <v>341</v>
      </c>
      <c r="J9" s="294" t="s">
        <v>225</v>
      </c>
    </row>
    <row r="10" customFormat="false" ht="12.75" hidden="false" customHeight="true" outlineLevel="0" collapsed="false">
      <c r="E10" s="359"/>
      <c r="H10" s="359"/>
      <c r="I10" s="360"/>
    </row>
    <row r="11" customFormat="false" ht="12.75" hidden="false" customHeight="true" outlineLevel="0" collapsed="false">
      <c r="A11" s="294" t="s">
        <v>343</v>
      </c>
      <c r="B11" s="294" t="s">
        <v>344</v>
      </c>
      <c r="C11" s="294" t="s">
        <v>5</v>
      </c>
      <c r="D11" s="294" t="s">
        <v>332</v>
      </c>
      <c r="E11" s="374" t="n">
        <v>26751</v>
      </c>
      <c r="F11" s="294" t="s">
        <v>345</v>
      </c>
      <c r="H11" s="378" t="n">
        <v>36922</v>
      </c>
      <c r="I11" s="360" t="n">
        <v>20000</v>
      </c>
      <c r="J11" s="294" t="n">
        <v>0.12</v>
      </c>
      <c r="L11" s="360" t="n">
        <f aca="false">$I11*$J11*L$2</f>
        <v>67200</v>
      </c>
      <c r="M11" s="360" t="n">
        <f aca="false">$I11*$J11*M$2</f>
        <v>74400</v>
      </c>
      <c r="N11" s="360" t="n">
        <f aca="false">$I11*$J11*N$2</f>
        <v>72000</v>
      </c>
      <c r="O11" s="360" t="n">
        <f aca="false">$I11*$J11*O$2</f>
        <v>74400</v>
      </c>
      <c r="P11" s="360" t="n">
        <f aca="false">$I11*$J11*P$2</f>
        <v>72000</v>
      </c>
      <c r="Q11" s="360" t="n">
        <f aca="false">$I11*$J11*Q$2</f>
        <v>74400</v>
      </c>
      <c r="R11" s="360" t="n">
        <f aca="false">$I11*$J11*R$2</f>
        <v>74400</v>
      </c>
      <c r="S11" s="360" t="n">
        <f aca="false">$I11*$J11*S$2</f>
        <v>72000</v>
      </c>
      <c r="T11" s="360" t="n">
        <f aca="false">$I11*$J11*T$2</f>
        <v>74400</v>
      </c>
      <c r="U11" s="360" t="n">
        <f aca="false">$I11*$J11*U$2</f>
        <v>72000</v>
      </c>
      <c r="V11" s="360" t="n">
        <f aca="false">$I11*$J11*V$2</f>
        <v>74400</v>
      </c>
      <c r="W11" s="360" t="n">
        <f aca="false">SUM(K11:V11)</f>
        <v>801600</v>
      </c>
      <c r="Z11" s="360" t="n">
        <f aca="false">Stretch!W11</f>
        <v>200400</v>
      </c>
      <c r="AA11" s="417" t="n">
        <f aca="false">W11+Z11</f>
        <v>1002000</v>
      </c>
    </row>
    <row r="12" customFormat="false" ht="12.75" hidden="false" customHeight="true" outlineLevel="0" collapsed="false">
      <c r="A12" s="294" t="s">
        <v>343</v>
      </c>
      <c r="B12" s="294" t="s">
        <v>344</v>
      </c>
      <c r="C12" s="294" t="s">
        <v>5</v>
      </c>
      <c r="D12" s="294" t="s">
        <v>332</v>
      </c>
      <c r="E12" s="374" t="n">
        <v>26490</v>
      </c>
      <c r="F12" s="294" t="s">
        <v>350</v>
      </c>
      <c r="G12" s="375" t="n">
        <v>36100</v>
      </c>
      <c r="H12" s="378" t="n">
        <v>37195</v>
      </c>
      <c r="I12" s="360" t="n">
        <v>70000</v>
      </c>
      <c r="J12" s="294" t="n">
        <v>0.15</v>
      </c>
      <c r="L12" s="360"/>
      <c r="M12" s="360"/>
      <c r="N12" s="360"/>
      <c r="O12" s="360"/>
      <c r="P12" s="360"/>
      <c r="Q12" s="360"/>
      <c r="R12" s="360"/>
      <c r="S12" s="360"/>
      <c r="T12" s="360"/>
      <c r="U12" s="360" t="n">
        <f aca="false">$I12*$J12*U$2</f>
        <v>315000</v>
      </c>
      <c r="V12" s="360" t="n">
        <f aca="false">$I12*$J12*V$2</f>
        <v>325500</v>
      </c>
      <c r="W12" s="360" t="n">
        <f aca="false">SUM(K12:V12)</f>
        <v>640500</v>
      </c>
      <c r="Z12" s="360" t="n">
        <f aca="false">Stretch!W12</f>
        <v>0</v>
      </c>
      <c r="AA12" s="417" t="n">
        <f aca="false">W12+Z12</f>
        <v>640500</v>
      </c>
    </row>
    <row r="13" customFormat="false" ht="12.75" hidden="false" customHeight="true" outlineLevel="0" collapsed="false">
      <c r="A13" s="294" t="s">
        <v>343</v>
      </c>
      <c r="B13" s="294" t="s">
        <v>344</v>
      </c>
      <c r="C13" s="294" t="s">
        <v>5</v>
      </c>
      <c r="D13" s="294" t="s">
        <v>332</v>
      </c>
      <c r="E13" s="359" t="n">
        <v>26683</v>
      </c>
      <c r="F13" s="294" t="s">
        <v>356</v>
      </c>
      <c r="G13" s="375" t="n">
        <v>36220</v>
      </c>
      <c r="H13" s="378" t="n">
        <v>36981</v>
      </c>
      <c r="I13" s="360" t="n">
        <v>8000</v>
      </c>
      <c r="J13" s="294" t="n">
        <v>0.12</v>
      </c>
      <c r="L13" s="360"/>
      <c r="M13" s="360"/>
      <c r="N13" s="360" t="n">
        <f aca="false">$I13*$J13*N$2</f>
        <v>28800</v>
      </c>
      <c r="O13" s="360" t="n">
        <f aca="false">$I13*$J13*O$2</f>
        <v>29760</v>
      </c>
      <c r="P13" s="360" t="n">
        <f aca="false">$I13*$J13*P$2</f>
        <v>28800</v>
      </c>
      <c r="Q13" s="360" t="n">
        <f aca="false">$I13*$J13*Q$2</f>
        <v>29760</v>
      </c>
      <c r="R13" s="360" t="n">
        <f aca="false">$I13*$J13*R$2</f>
        <v>29760</v>
      </c>
      <c r="S13" s="360" t="n">
        <f aca="false">$I13*$J13*S$2</f>
        <v>28800</v>
      </c>
      <c r="T13" s="360" t="n">
        <f aca="false">$I13*$J13*T$2</f>
        <v>29760</v>
      </c>
      <c r="U13" s="360" t="n">
        <f aca="false">$I13*$J13*U$2</f>
        <v>28800</v>
      </c>
      <c r="V13" s="360" t="n">
        <f aca="false">$I13*$J13*V$2</f>
        <v>29760</v>
      </c>
      <c r="W13" s="360" t="n">
        <f aca="false">SUM(K13:V13)</f>
        <v>264000</v>
      </c>
      <c r="Z13" s="360" t="n">
        <f aca="false">Stretch!W13</f>
        <v>66000</v>
      </c>
      <c r="AA13" s="417" t="n">
        <f aca="false">W13+Z13</f>
        <v>330000</v>
      </c>
    </row>
    <row r="14" customFormat="false" ht="12.75" hidden="false" customHeight="true" outlineLevel="0" collapsed="false">
      <c r="E14" s="359"/>
      <c r="H14" s="378"/>
      <c r="I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AA14" s="417" t="n">
        <f aca="false">W14+Z14</f>
        <v>0</v>
      </c>
    </row>
    <row r="15" customFormat="false" ht="12.75" hidden="false" customHeight="true" outlineLevel="0" collapsed="false">
      <c r="E15" s="359"/>
      <c r="H15" s="378"/>
      <c r="I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AA15" s="417" t="n">
        <f aca="false">W15+Z15</f>
        <v>0</v>
      </c>
    </row>
    <row r="16" customFormat="false" ht="12.75" hidden="false" customHeight="true" outlineLevel="0" collapsed="false">
      <c r="E16" s="359"/>
      <c r="H16" s="378"/>
      <c r="I16" s="360" t="n">
        <f aca="false">SUM(I11:I15)</f>
        <v>98000</v>
      </c>
      <c r="L16" s="360" t="n">
        <f aca="false">SUM(L11:L15)</f>
        <v>67200</v>
      </c>
      <c r="M16" s="360" t="n">
        <f aca="false">SUM(M11:M15)</f>
        <v>74400</v>
      </c>
      <c r="N16" s="360" t="n">
        <f aca="false">SUM(N11:N15)</f>
        <v>100800</v>
      </c>
      <c r="O16" s="360" t="n">
        <f aca="false">SUM(O11:O15)</f>
        <v>104160</v>
      </c>
      <c r="P16" s="360" t="n">
        <f aca="false">SUM(P11:P15)</f>
        <v>100800</v>
      </c>
      <c r="Q16" s="360" t="n">
        <f aca="false">SUM(Q11:Q15)</f>
        <v>104160</v>
      </c>
      <c r="R16" s="360" t="n">
        <f aca="false">SUM(R11:R15)</f>
        <v>104160</v>
      </c>
      <c r="S16" s="360" t="n">
        <f aca="false">SUM(S11:S15)</f>
        <v>100800</v>
      </c>
      <c r="T16" s="360" t="n">
        <f aca="false">SUM(T11:T15)</f>
        <v>104160</v>
      </c>
      <c r="U16" s="360" t="n">
        <f aca="false">SUM(U11:U15)</f>
        <v>415800</v>
      </c>
      <c r="V16" s="360" t="n">
        <f aca="false">SUM(V11:V15)</f>
        <v>429660</v>
      </c>
      <c r="W16" s="360" t="n">
        <f aca="false">SUM(W11:W15)</f>
        <v>1706100</v>
      </c>
      <c r="X16" s="417" t="n">
        <f aca="false">W16</f>
        <v>1706100</v>
      </c>
      <c r="Y16" s="417"/>
      <c r="AA16" s="417"/>
    </row>
    <row r="17" customFormat="false" ht="12.75" hidden="false" customHeight="true" outlineLevel="0" collapsed="false">
      <c r="E17" s="359"/>
      <c r="H17" s="378"/>
      <c r="I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AA17" s="417" t="n">
        <f aca="false">W17+Z17</f>
        <v>0</v>
      </c>
    </row>
    <row r="18" customFormat="false" ht="12.75" hidden="false" customHeight="true" outlineLevel="0" collapsed="false">
      <c r="A18" s="294" t="s">
        <v>231</v>
      </c>
      <c r="B18" s="294" t="s">
        <v>425</v>
      </c>
      <c r="C18" s="294" t="s">
        <v>5</v>
      </c>
      <c r="D18" s="294" t="s">
        <v>332</v>
      </c>
      <c r="E18" s="538" t="n">
        <v>24194</v>
      </c>
      <c r="F18" s="462" t="s">
        <v>426</v>
      </c>
      <c r="H18" s="463" t="n">
        <v>37164</v>
      </c>
      <c r="I18" s="464" t="n">
        <v>25000</v>
      </c>
      <c r="J18" s="294" t="n">
        <v>0.02</v>
      </c>
      <c r="L18" s="360"/>
      <c r="M18" s="360"/>
      <c r="N18" s="360"/>
      <c r="O18" s="360"/>
      <c r="P18" s="360"/>
      <c r="Q18" s="360"/>
      <c r="R18" s="360"/>
      <c r="S18" s="360"/>
      <c r="T18" s="360" t="n">
        <f aca="false">10000*$J18*T$2</f>
        <v>6200</v>
      </c>
      <c r="U18" s="360" t="n">
        <f aca="false">40000*$J18*U$2</f>
        <v>24000</v>
      </c>
      <c r="V18" s="360" t="n">
        <f aca="false">40000*$J18*V$2</f>
        <v>24800</v>
      </c>
      <c r="W18" s="360" t="n">
        <f aca="false">SUM(K18:V18)</f>
        <v>55000</v>
      </c>
      <c r="Z18" s="360" t="n">
        <f aca="false">Stretch!W18</f>
        <v>247500</v>
      </c>
      <c r="AA18" s="417" t="n">
        <f aca="false">W18+Z18</f>
        <v>302500</v>
      </c>
    </row>
    <row r="19" customFormat="false" ht="12.75" hidden="false" customHeight="true" outlineLevel="0" collapsed="false">
      <c r="E19" s="538"/>
      <c r="F19" s="462"/>
      <c r="H19" s="463"/>
      <c r="I19" s="464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Z19" s="360" t="n">
        <f aca="false">Stretch!W19</f>
        <v>0</v>
      </c>
      <c r="AA19" s="417" t="n">
        <f aca="false">W19+Z19</f>
        <v>0</v>
      </c>
    </row>
    <row r="20" customFormat="false" ht="12.75" hidden="false" customHeight="true" outlineLevel="0" collapsed="false">
      <c r="A20" s="294" t="s">
        <v>231</v>
      </c>
      <c r="B20" s="294" t="s">
        <v>425</v>
      </c>
      <c r="C20" s="294" t="s">
        <v>5</v>
      </c>
      <c r="D20" s="294" t="s">
        <v>332</v>
      </c>
      <c r="E20" s="539" t="n">
        <v>24690</v>
      </c>
      <c r="F20" s="466" t="s">
        <v>430</v>
      </c>
      <c r="H20" s="467" t="n">
        <v>36981</v>
      </c>
      <c r="I20" s="468" t="n">
        <v>0</v>
      </c>
      <c r="J20" s="294" t="n">
        <v>0.02</v>
      </c>
      <c r="L20" s="360"/>
      <c r="M20" s="360"/>
      <c r="N20" s="360" t="n">
        <f aca="false">$I20*$J20*N$2</f>
        <v>0</v>
      </c>
      <c r="O20" s="360" t="n">
        <f aca="false">$I20*$J20*O$2</f>
        <v>0</v>
      </c>
      <c r="P20" s="360" t="n">
        <f aca="false">$I20*$J20*P$2</f>
        <v>0</v>
      </c>
      <c r="Q20" s="360" t="n">
        <f aca="false">$I20*$J20*Q$2</f>
        <v>0</v>
      </c>
      <c r="R20" s="360" t="n">
        <f aca="false">$I20*$J20*R$2</f>
        <v>0</v>
      </c>
      <c r="S20" s="360" t="n">
        <f aca="false">$I20*$J20*S$2</f>
        <v>0</v>
      </c>
      <c r="T20" s="360" t="n">
        <f aca="false">$I20*$J20*T$2</f>
        <v>0</v>
      </c>
      <c r="U20" s="360" t="n">
        <f aca="false">$I20*$J20*U$2</f>
        <v>0</v>
      </c>
      <c r="V20" s="360" t="n">
        <f aca="false">$I20*$J20*V$2</f>
        <v>0</v>
      </c>
      <c r="W20" s="360" t="n">
        <f aca="false">SUM(K20:V20)</f>
        <v>0</v>
      </c>
      <c r="Z20" s="360" t="n">
        <f aca="false">Stretch!W20</f>
        <v>0</v>
      </c>
      <c r="AA20" s="417" t="n">
        <f aca="false">W20+Z20</f>
        <v>0</v>
      </c>
    </row>
    <row r="21" customFormat="false" ht="12.75" hidden="false" customHeight="true" outlineLevel="0" collapsed="false">
      <c r="A21" s="294" t="s">
        <v>231</v>
      </c>
      <c r="B21" s="294" t="s">
        <v>425</v>
      </c>
      <c r="C21" s="294" t="s">
        <v>5</v>
      </c>
      <c r="D21" s="294" t="s">
        <v>332</v>
      </c>
      <c r="E21" s="539" t="n">
        <v>24754</v>
      </c>
      <c r="F21" s="466" t="s">
        <v>431</v>
      </c>
      <c r="H21" s="481" t="n">
        <v>37011</v>
      </c>
      <c r="I21" s="468" t="n">
        <v>1000</v>
      </c>
      <c r="J21" s="294" t="n">
        <f aca="false">0.0907+0.0093</f>
        <v>0.1</v>
      </c>
      <c r="L21" s="360"/>
      <c r="M21" s="360"/>
      <c r="N21" s="360"/>
      <c r="O21" s="360" t="n">
        <f aca="false">$I21*$J21*O$2</f>
        <v>3100</v>
      </c>
      <c r="P21" s="360" t="n">
        <f aca="false">$I21*$J21*P$2</f>
        <v>3000</v>
      </c>
      <c r="Q21" s="360" t="n">
        <f aca="false">$I21*$J21*Q$2</f>
        <v>3100</v>
      </c>
      <c r="R21" s="360" t="n">
        <f aca="false">$I21*$J21*R$2</f>
        <v>3100</v>
      </c>
      <c r="S21" s="360" t="n">
        <f aca="false">$I21*$J21*S$2</f>
        <v>3000</v>
      </c>
      <c r="T21" s="360" t="n">
        <f aca="false">$I21*$J21*T$2</f>
        <v>3100</v>
      </c>
      <c r="U21" s="360" t="n">
        <f aca="false">$I21*$J21*U$2</f>
        <v>3000</v>
      </c>
      <c r="V21" s="360" t="n">
        <f aca="false">$I21*$J21*V$2</f>
        <v>3100</v>
      </c>
      <c r="W21" s="360" t="n">
        <f aca="false">SUM(K21:V21)</f>
        <v>24500</v>
      </c>
      <c r="Z21" s="360" t="n">
        <f aca="false">Stretch!W21</f>
        <v>0</v>
      </c>
      <c r="AA21" s="417" t="n">
        <f aca="false">W21+Z21</f>
        <v>24500</v>
      </c>
    </row>
    <row r="22" customFormat="false" ht="12.75" hidden="false" customHeight="true" outlineLevel="0" collapsed="false">
      <c r="A22" s="294" t="s">
        <v>231</v>
      </c>
      <c r="B22" s="294" t="s">
        <v>425</v>
      </c>
      <c r="C22" s="294" t="s">
        <v>5</v>
      </c>
      <c r="D22" s="294" t="s">
        <v>332</v>
      </c>
      <c r="E22" s="539" t="s">
        <v>433</v>
      </c>
      <c r="F22" s="466" t="s">
        <v>357</v>
      </c>
      <c r="H22" s="467" t="n">
        <v>36950</v>
      </c>
      <c r="I22" s="468" t="n">
        <v>10000</v>
      </c>
      <c r="J22" s="294" t="n">
        <v>0.02</v>
      </c>
      <c r="L22" s="360"/>
      <c r="M22" s="360" t="n">
        <f aca="false">$I22*$J22*M$2</f>
        <v>6200</v>
      </c>
      <c r="N22" s="360" t="n">
        <f aca="false">$I22*$J22*N$2</f>
        <v>6000</v>
      </c>
      <c r="O22" s="360" t="n">
        <f aca="false">$I22*$J22*O$2</f>
        <v>6200</v>
      </c>
      <c r="P22" s="360" t="n">
        <f aca="false">$I22*$J22*P$2</f>
        <v>6000</v>
      </c>
      <c r="Q22" s="360" t="n">
        <f aca="false">$I22*$J22*Q$2</f>
        <v>6200</v>
      </c>
      <c r="R22" s="360" t="n">
        <f aca="false">$I22*$J22*R$2</f>
        <v>6200</v>
      </c>
      <c r="S22" s="360" t="n">
        <f aca="false">$I22*$J22*S$2</f>
        <v>6000</v>
      </c>
      <c r="T22" s="360" t="n">
        <f aca="false">$I22*$J22*T$2</f>
        <v>6200</v>
      </c>
      <c r="U22" s="360" t="n">
        <f aca="false">$I22*$J22*U$2</f>
        <v>6000</v>
      </c>
      <c r="V22" s="360" t="n">
        <f aca="false">$I22*$J22*V$2</f>
        <v>6200</v>
      </c>
      <c r="W22" s="360" t="n">
        <f aca="false">SUM(K22:V22)</f>
        <v>61200</v>
      </c>
      <c r="Z22" s="360" t="n">
        <f aca="false">Stretch!W22</f>
        <v>15300</v>
      </c>
      <c r="AA22" s="417" t="n">
        <f aca="false">W22+Z22</f>
        <v>76500</v>
      </c>
    </row>
    <row r="23" customFormat="false" ht="12.75" hidden="false" customHeight="true" outlineLevel="0" collapsed="false">
      <c r="A23" s="294" t="s">
        <v>231</v>
      </c>
      <c r="B23" s="294" t="s">
        <v>425</v>
      </c>
      <c r="C23" s="294" t="s">
        <v>5</v>
      </c>
      <c r="D23" s="294" t="s">
        <v>332</v>
      </c>
      <c r="E23" s="539" t="n">
        <v>27161</v>
      </c>
      <c r="F23" s="466" t="s">
        <v>434</v>
      </c>
      <c r="H23" s="467" t="n">
        <v>37195</v>
      </c>
      <c r="I23" s="472" t="n">
        <v>400000</v>
      </c>
      <c r="J23" s="294" t="n">
        <v>0</v>
      </c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 t="n">
        <f aca="false">SUM(K23:V23)</f>
        <v>0</v>
      </c>
      <c r="Z23" s="360" t="n">
        <f aca="false">Stretch!W23</f>
        <v>183000</v>
      </c>
      <c r="AA23" s="417" t="n">
        <f aca="false">W23+Z23</f>
        <v>183000</v>
      </c>
    </row>
    <row r="24" customFormat="false" ht="12.75" hidden="false" customHeight="true" outlineLevel="0" collapsed="false">
      <c r="A24" s="294" t="s">
        <v>231</v>
      </c>
      <c r="B24" s="294" t="s">
        <v>425</v>
      </c>
      <c r="C24" s="294" t="s">
        <v>5</v>
      </c>
      <c r="D24" s="294" t="s">
        <v>332</v>
      </c>
      <c r="E24" s="539" t="s">
        <v>435</v>
      </c>
      <c r="F24" s="466" t="s">
        <v>350</v>
      </c>
      <c r="H24" s="467" t="n">
        <v>37195</v>
      </c>
      <c r="I24" s="540" t="n">
        <v>40000</v>
      </c>
      <c r="J24" s="294" t="n">
        <v>0.07</v>
      </c>
      <c r="L24" s="368"/>
      <c r="M24" s="368"/>
      <c r="N24" s="368"/>
      <c r="O24" s="368"/>
      <c r="P24" s="368"/>
      <c r="Q24" s="368"/>
      <c r="R24" s="368"/>
      <c r="S24" s="368"/>
      <c r="T24" s="368"/>
      <c r="U24" s="368" t="n">
        <f aca="false">$I24*$J24*U$2</f>
        <v>84000</v>
      </c>
      <c r="V24" s="368" t="n">
        <f aca="false">$I24*$J24*V$2</f>
        <v>86800</v>
      </c>
      <c r="W24" s="360" t="n">
        <f aca="false">SUM(K24:V24)</f>
        <v>170800</v>
      </c>
      <c r="Z24" s="360" t="n">
        <f aca="false">Stretch!W25</f>
        <v>0</v>
      </c>
      <c r="AA24" s="417" t="n">
        <f aca="false">W24+Z24</f>
        <v>170800</v>
      </c>
    </row>
    <row r="25" customFormat="false" ht="12.75" hidden="false" customHeight="true" outlineLevel="0" collapsed="false">
      <c r="E25" s="539"/>
      <c r="F25" s="466"/>
      <c r="H25" s="467"/>
      <c r="I25" s="472" t="n">
        <f aca="false">SUM(I18:I24)</f>
        <v>476000</v>
      </c>
      <c r="L25" s="360" t="n">
        <f aca="false">SUM(L18:L24)</f>
        <v>0</v>
      </c>
      <c r="M25" s="360" t="n">
        <f aca="false">SUM(M18:M24)</f>
        <v>6200</v>
      </c>
      <c r="N25" s="360" t="n">
        <f aca="false">SUM(N18:N24)</f>
        <v>6000</v>
      </c>
      <c r="O25" s="360" t="n">
        <f aca="false">SUM(O18:O24)</f>
        <v>9300</v>
      </c>
      <c r="P25" s="360" t="n">
        <f aca="false">SUM(P18:P24)</f>
        <v>9000</v>
      </c>
      <c r="Q25" s="360" t="n">
        <f aca="false">SUM(Q18:Q24)</f>
        <v>9300</v>
      </c>
      <c r="R25" s="360" t="n">
        <f aca="false">SUM(R18:R24)</f>
        <v>9300</v>
      </c>
      <c r="S25" s="360" t="n">
        <f aca="false">SUM(S18:S24)</f>
        <v>9000</v>
      </c>
      <c r="T25" s="360" t="n">
        <f aca="false">SUM(T18:T24)</f>
        <v>15500</v>
      </c>
      <c r="U25" s="360" t="n">
        <f aca="false">SUM(U18:U24)</f>
        <v>117000</v>
      </c>
      <c r="V25" s="360" t="n">
        <f aca="false">SUM(V18:V24)</f>
        <v>120900</v>
      </c>
      <c r="W25" s="360" t="n">
        <f aca="false">SUM(W18:W24)</f>
        <v>311500</v>
      </c>
      <c r="X25" s="417" t="n">
        <f aca="false">W25</f>
        <v>311500</v>
      </c>
      <c r="Y25" s="417"/>
      <c r="AA25" s="417"/>
    </row>
    <row r="26" customFormat="false" ht="12.75" hidden="false" customHeight="true" outlineLevel="0" collapsed="false">
      <c r="E26" s="539"/>
      <c r="F26" s="466"/>
      <c r="H26" s="467"/>
      <c r="I26" s="472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AA26" s="417" t="n">
        <f aca="false">W26+Z26</f>
        <v>0</v>
      </c>
    </row>
    <row r="27" customFormat="false" ht="12.75" hidden="false" customHeight="true" outlineLevel="0" collapsed="false">
      <c r="A27" s="294" t="s">
        <v>405</v>
      </c>
      <c r="B27" s="294" t="s">
        <v>406</v>
      </c>
      <c r="C27" s="294" t="s">
        <v>5</v>
      </c>
      <c r="D27" s="294" t="s">
        <v>332</v>
      </c>
      <c r="E27" s="374" t="n">
        <v>25067</v>
      </c>
      <c r="F27" s="440" t="s">
        <v>407</v>
      </c>
      <c r="H27" s="378" t="n">
        <v>37225</v>
      </c>
      <c r="I27" s="360" t="n">
        <v>15000</v>
      </c>
      <c r="J27" s="294" t="n">
        <v>0.01</v>
      </c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 t="n">
        <f aca="false">$I27*$J27*V$2</f>
        <v>4650</v>
      </c>
      <c r="W27" s="360" t="n">
        <f aca="false">SUM(K27:V27)</f>
        <v>4650</v>
      </c>
      <c r="Z27" s="360" t="n">
        <f aca="false">Stretch!W28</f>
        <v>13950</v>
      </c>
      <c r="AA27" s="417" t="n">
        <f aca="false">W27+Z27</f>
        <v>18600</v>
      </c>
    </row>
    <row r="28" customFormat="false" ht="12.75" hidden="false" customHeight="true" outlineLevel="0" collapsed="false">
      <c r="E28" s="438"/>
      <c r="F28" s="443"/>
      <c r="H28" s="378"/>
      <c r="I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Z28" s="360" t="n">
        <f aca="false">Stretch!W29</f>
        <v>0</v>
      </c>
      <c r="AA28" s="417" t="n">
        <f aca="false">W28+Z28</f>
        <v>0</v>
      </c>
    </row>
    <row r="29" customFormat="false" ht="12.75" hidden="false" customHeight="true" outlineLevel="0" collapsed="false">
      <c r="A29" s="294" t="s">
        <v>405</v>
      </c>
      <c r="B29" s="294" t="s">
        <v>415</v>
      </c>
      <c r="C29" s="294" t="s">
        <v>5</v>
      </c>
      <c r="D29" s="294" t="s">
        <v>332</v>
      </c>
      <c r="E29" s="438" t="n">
        <v>24926</v>
      </c>
      <c r="F29" s="443" t="s">
        <v>417</v>
      </c>
      <c r="H29" s="378" t="n">
        <v>36922</v>
      </c>
      <c r="I29" s="360" t="n">
        <v>21200</v>
      </c>
      <c r="J29" s="294" t="n">
        <v>0.01</v>
      </c>
      <c r="L29" s="360" t="n">
        <f aca="false">$I29*$J29*L$2</f>
        <v>5936</v>
      </c>
      <c r="M29" s="360" t="n">
        <f aca="false">$I29*$J29*M$2</f>
        <v>6572</v>
      </c>
      <c r="N29" s="360" t="n">
        <f aca="false">$I29*$J29*N$2</f>
        <v>6360</v>
      </c>
      <c r="O29" s="360" t="n">
        <f aca="false">$I29*$J29*O$2</f>
        <v>6572</v>
      </c>
      <c r="P29" s="360" t="n">
        <f aca="false">$I29*$J29*P$2</f>
        <v>6360</v>
      </c>
      <c r="Q29" s="360" t="n">
        <f aca="false">$I29*$J29*Q$2</f>
        <v>6572</v>
      </c>
      <c r="R29" s="360" t="n">
        <f aca="false">$I29*$J29*R$2</f>
        <v>6572</v>
      </c>
      <c r="S29" s="360" t="n">
        <f aca="false">$I29*$J29*S$2</f>
        <v>6360</v>
      </c>
      <c r="T29" s="360" t="n">
        <f aca="false">$I29*$J29*T$2</f>
        <v>6572</v>
      </c>
      <c r="U29" s="360" t="n">
        <f aca="false">$I29*$J29*U$2</f>
        <v>6360</v>
      </c>
      <c r="V29" s="360" t="n">
        <f aca="false">$I29*$J29*V$2</f>
        <v>6572</v>
      </c>
      <c r="W29" s="360" t="n">
        <f aca="false">SUM(K29:V29)</f>
        <v>70808</v>
      </c>
      <c r="Z29" s="360" t="n">
        <f aca="false">Stretch!W30</f>
        <v>70808</v>
      </c>
      <c r="AA29" s="417" t="n">
        <f aca="false">W29+Z29</f>
        <v>141616</v>
      </c>
    </row>
    <row r="30" customFormat="false" ht="12.75" hidden="false" customHeight="true" outlineLevel="0" collapsed="false">
      <c r="E30" s="438"/>
      <c r="F30" s="443"/>
      <c r="H30" s="378"/>
      <c r="I30" s="360" t="n">
        <v>4000</v>
      </c>
      <c r="J30" s="294" t="n">
        <v>0</v>
      </c>
      <c r="L30" s="360" t="n">
        <f aca="false">$I30*$J30*L$2</f>
        <v>0</v>
      </c>
      <c r="M30" s="360" t="n">
        <f aca="false">$I30*$J30*M$2</f>
        <v>0</v>
      </c>
      <c r="N30" s="360" t="n">
        <f aca="false">$I30*$J30*N$2</f>
        <v>0</v>
      </c>
      <c r="O30" s="360" t="n">
        <f aca="false">$I30*$J30*O$2</f>
        <v>0</v>
      </c>
      <c r="P30" s="360" t="n">
        <f aca="false">$I30*$J30*P$2</f>
        <v>0</v>
      </c>
      <c r="Q30" s="360" t="n">
        <f aca="false">$I30*$J30*Q$2</f>
        <v>0</v>
      </c>
      <c r="R30" s="360" t="n">
        <f aca="false">$I30*$J30*R$2</f>
        <v>0</v>
      </c>
      <c r="S30" s="360" t="n">
        <f aca="false">$I30*$J30*S$2</f>
        <v>0</v>
      </c>
      <c r="T30" s="360" t="n">
        <f aca="false">$I30*$J30*T$2</f>
        <v>0</v>
      </c>
      <c r="U30" s="360" t="n">
        <f aca="false">$I30*$J30*U$2</f>
        <v>0</v>
      </c>
      <c r="V30" s="360" t="n">
        <f aca="false">$I30*$J30*V$2</f>
        <v>0</v>
      </c>
      <c r="W30" s="360"/>
      <c r="Z30" s="360" t="n">
        <f aca="false">Stretch!W31</f>
        <v>53440</v>
      </c>
      <c r="AA30" s="417" t="n">
        <f aca="false">W30+Z30</f>
        <v>53440</v>
      </c>
    </row>
    <row r="31" customFormat="false" ht="12.75" hidden="false" customHeight="true" outlineLevel="0" collapsed="false">
      <c r="A31" s="383" t="s">
        <v>405</v>
      </c>
      <c r="B31" s="383" t="s">
        <v>406</v>
      </c>
      <c r="C31" s="383" t="s">
        <v>5</v>
      </c>
      <c r="D31" s="383" t="s">
        <v>332</v>
      </c>
      <c r="E31" s="558"/>
      <c r="F31" s="559" t="s">
        <v>347</v>
      </c>
      <c r="G31" s="560" t="n">
        <v>35704</v>
      </c>
      <c r="H31" s="560" t="n">
        <v>36891</v>
      </c>
      <c r="I31" s="561" t="n">
        <v>30000</v>
      </c>
      <c r="J31" s="383" t="n">
        <v>0.06</v>
      </c>
      <c r="K31" s="310" t="n">
        <f aca="false">$I31*$J31*K$2</f>
        <v>55800</v>
      </c>
      <c r="L31" s="310" t="n">
        <f aca="false">$I31*$J31*L$2</f>
        <v>50400</v>
      </c>
      <c r="M31" s="310" t="n">
        <f aca="false">$I31*$J31*M$2</f>
        <v>55800</v>
      </c>
      <c r="N31" s="310" t="n">
        <f aca="false">$I31*$J31*N$2</f>
        <v>54000</v>
      </c>
      <c r="O31" s="310" t="n">
        <f aca="false">$I31*$J31*O$2</f>
        <v>55800</v>
      </c>
      <c r="P31" s="310" t="n">
        <f aca="false">$I31*$J31*P$2</f>
        <v>54000</v>
      </c>
      <c r="Q31" s="310" t="n">
        <f aca="false">$I31*$J31*Q$2</f>
        <v>55800</v>
      </c>
      <c r="R31" s="310" t="n">
        <f aca="false">$I31*$J31*R$2</f>
        <v>55800</v>
      </c>
      <c r="S31" s="310" t="n">
        <f aca="false">$I31*$J31*S$2</f>
        <v>54000</v>
      </c>
      <c r="T31" s="310" t="n">
        <f aca="false">$I31*$J31*T$2</f>
        <v>55800</v>
      </c>
      <c r="U31" s="310" t="n">
        <f aca="false">$I31*$J31*U$2</f>
        <v>54000</v>
      </c>
      <c r="V31" s="310" t="n">
        <f aca="false">$I31*$J31*V$2</f>
        <v>55800</v>
      </c>
      <c r="W31" s="360" t="n">
        <f aca="false">SUM(K31:V31)</f>
        <v>657000</v>
      </c>
      <c r="Z31" s="360" t="n">
        <f aca="false">Stretch!W32</f>
        <v>0</v>
      </c>
      <c r="AA31" s="417" t="n">
        <f aca="false">W31+Z31</f>
        <v>657000</v>
      </c>
    </row>
    <row r="32" customFormat="false" ht="12.75" hidden="false" customHeight="true" outlineLevel="0" collapsed="false">
      <c r="A32" s="294" t="s">
        <v>405</v>
      </c>
      <c r="B32" s="294" t="s">
        <v>406</v>
      </c>
      <c r="C32" s="294" t="s">
        <v>5</v>
      </c>
      <c r="D32" s="294" t="s">
        <v>332</v>
      </c>
      <c r="E32" s="539" t="n">
        <v>26661</v>
      </c>
      <c r="F32" s="466" t="s">
        <v>479</v>
      </c>
      <c r="G32" s="467" t="n">
        <v>36526</v>
      </c>
      <c r="H32" s="467" t="n">
        <v>36891</v>
      </c>
      <c r="I32" s="472" t="n">
        <v>18000</v>
      </c>
      <c r="J32" s="294" t="n">
        <v>0.01</v>
      </c>
      <c r="K32" s="360" t="n">
        <f aca="false">$I32*$J32*K$2</f>
        <v>5580</v>
      </c>
      <c r="L32" s="360" t="n">
        <f aca="false">$I32*$J32*L$2</f>
        <v>5040</v>
      </c>
      <c r="M32" s="360" t="n">
        <f aca="false">$I32*$J32*M$2</f>
        <v>5580</v>
      </c>
      <c r="N32" s="360" t="n">
        <f aca="false">$I32*$J32*N$2</f>
        <v>5400</v>
      </c>
      <c r="O32" s="360" t="n">
        <f aca="false">$I32*$J32*O$2</f>
        <v>5580</v>
      </c>
      <c r="P32" s="360" t="n">
        <f aca="false">$I32*$J32*P$2</f>
        <v>5400</v>
      </c>
      <c r="Q32" s="360" t="n">
        <f aca="false">$I32*$J32*Q$2</f>
        <v>5580</v>
      </c>
      <c r="R32" s="360" t="n">
        <f aca="false">$I32*$J32*R$2</f>
        <v>5580</v>
      </c>
      <c r="S32" s="360" t="n">
        <f aca="false">$I32*$J32*S$2</f>
        <v>5400</v>
      </c>
      <c r="T32" s="360" t="n">
        <f aca="false">$I32*$J32*T$2</f>
        <v>5580</v>
      </c>
      <c r="U32" s="360" t="n">
        <f aca="false">$I32*$J32*U$2</f>
        <v>5400</v>
      </c>
      <c r="V32" s="360" t="n">
        <f aca="false">$I32*$J32*V$2</f>
        <v>5580</v>
      </c>
      <c r="W32" s="360" t="n">
        <f aca="false">SUM(K32:V32)</f>
        <v>65700</v>
      </c>
      <c r="Z32" s="360" t="n">
        <f aca="false">Stretch!W33</f>
        <v>197100</v>
      </c>
      <c r="AA32" s="417" t="n">
        <f aca="false">W32+Z32</f>
        <v>262800</v>
      </c>
    </row>
    <row r="33" customFormat="false" ht="12.75" hidden="false" customHeight="true" outlineLevel="0" collapsed="false">
      <c r="A33" s="383" t="s">
        <v>405</v>
      </c>
      <c r="B33" s="383" t="s">
        <v>415</v>
      </c>
      <c r="C33" s="383" t="s">
        <v>5</v>
      </c>
      <c r="D33" s="383" t="s">
        <v>332</v>
      </c>
      <c r="E33" s="558" t="s">
        <v>480</v>
      </c>
      <c r="F33" s="559" t="s">
        <v>372</v>
      </c>
      <c r="G33" s="560" t="n">
        <v>36526</v>
      </c>
      <c r="H33" s="560" t="n">
        <v>36891</v>
      </c>
      <c r="I33" s="561" t="n">
        <v>13500</v>
      </c>
      <c r="J33" s="383" t="n">
        <v>0.045</v>
      </c>
      <c r="K33" s="310" t="n">
        <f aca="false">$I33*$J33*K$2</f>
        <v>18832.5</v>
      </c>
      <c r="L33" s="310" t="n">
        <f aca="false">$I33*$J33*L$2</f>
        <v>17010</v>
      </c>
      <c r="M33" s="310" t="n">
        <f aca="false">$I33*$J33*M$2</f>
        <v>18832.5</v>
      </c>
      <c r="N33" s="310" t="n">
        <f aca="false">$I33*$J33*N$2</f>
        <v>18225</v>
      </c>
      <c r="O33" s="310" t="n">
        <f aca="false">$I33*$J33*O$2</f>
        <v>18832.5</v>
      </c>
      <c r="P33" s="310" t="n">
        <f aca="false">$I33*$J33*P$2</f>
        <v>18225</v>
      </c>
      <c r="Q33" s="310" t="n">
        <f aca="false">$I33*$J33*Q$2</f>
        <v>18832.5</v>
      </c>
      <c r="R33" s="310" t="n">
        <f aca="false">$I33*$J33*R$2</f>
        <v>18832.5</v>
      </c>
      <c r="S33" s="310" t="n">
        <f aca="false">$I33*$J33*S$2</f>
        <v>18225</v>
      </c>
      <c r="T33" s="310" t="n">
        <f aca="false">$I33*$J33*T$2</f>
        <v>18832.5</v>
      </c>
      <c r="U33" s="310" t="n">
        <f aca="false">$I33*$J33*U$2</f>
        <v>18225</v>
      </c>
      <c r="V33" s="310" t="n">
        <f aca="false">$I33*$J33*V$2</f>
        <v>18832.5</v>
      </c>
      <c r="W33" s="360" t="n">
        <f aca="false">SUM(K33:V33)</f>
        <v>221737.5</v>
      </c>
      <c r="Z33" s="360" t="n">
        <f aca="false">Stretch!W34</f>
        <v>0</v>
      </c>
      <c r="AA33" s="417" t="n">
        <f aca="false">W33+Z33</f>
        <v>221737.5</v>
      </c>
    </row>
    <row r="34" customFormat="false" ht="12.75" hidden="false" customHeight="true" outlineLevel="0" collapsed="false">
      <c r="A34" s="383" t="s">
        <v>405</v>
      </c>
      <c r="B34" s="383" t="s">
        <v>415</v>
      </c>
      <c r="C34" s="383" t="s">
        <v>5</v>
      </c>
      <c r="D34" s="383" t="s">
        <v>332</v>
      </c>
      <c r="E34" s="558" t="n">
        <v>27047</v>
      </c>
      <c r="F34" s="559" t="s">
        <v>422</v>
      </c>
      <c r="G34" s="560" t="n">
        <v>36557</v>
      </c>
      <c r="H34" s="560" t="n">
        <v>36891</v>
      </c>
      <c r="I34" s="561" t="n">
        <v>125000</v>
      </c>
      <c r="J34" s="383" t="n">
        <v>0.021</v>
      </c>
      <c r="K34" s="310" t="n">
        <f aca="false">$I34*$J34*K$2</f>
        <v>81375</v>
      </c>
      <c r="L34" s="310" t="n">
        <f aca="false">$I34*$J34*L$2</f>
        <v>73500</v>
      </c>
      <c r="M34" s="310" t="n">
        <f aca="false">$I34*$J34*M$2</f>
        <v>81375</v>
      </c>
      <c r="N34" s="310" t="n">
        <f aca="false">$I34*$J34*N$2</f>
        <v>78750</v>
      </c>
      <c r="O34" s="310" t="n">
        <f aca="false">$I34*$J34*O$2</f>
        <v>81375</v>
      </c>
      <c r="P34" s="310" t="n">
        <f aca="false">$I34*$J34*P$2</f>
        <v>78750</v>
      </c>
      <c r="Q34" s="310" t="n">
        <f aca="false">$I34*$J34*Q$2</f>
        <v>81375</v>
      </c>
      <c r="R34" s="310" t="n">
        <f aca="false">$I34*$J34*R$2</f>
        <v>81375</v>
      </c>
      <c r="S34" s="310" t="n">
        <f aca="false">$I34*$J34*S$2</f>
        <v>78750</v>
      </c>
      <c r="T34" s="310" t="n">
        <f aca="false">$I34*$J34*T$2</f>
        <v>81375</v>
      </c>
      <c r="U34" s="310" t="n">
        <f aca="false">$I34*$J34*U$2</f>
        <v>78750</v>
      </c>
      <c r="V34" s="310" t="n">
        <f aca="false">$I34*$J34*V$2</f>
        <v>81375</v>
      </c>
      <c r="W34" s="360" t="n">
        <f aca="false">SUM(K34:V34)</f>
        <v>958125</v>
      </c>
      <c r="Z34" s="360" t="n">
        <f aca="false">Stretch!W35</f>
        <v>0</v>
      </c>
      <c r="AA34" s="417" t="n">
        <f aca="false">W34+Z34</f>
        <v>958125</v>
      </c>
    </row>
    <row r="35" customFormat="false" ht="12.75" hidden="false" customHeight="true" outlineLevel="0" collapsed="false">
      <c r="A35" s="294" t="s">
        <v>405</v>
      </c>
      <c r="B35" s="294" t="s">
        <v>415</v>
      </c>
      <c r="C35" s="294" t="s">
        <v>5</v>
      </c>
      <c r="D35" s="294" t="s">
        <v>332</v>
      </c>
      <c r="E35" s="539"/>
      <c r="F35" s="466" t="s">
        <v>501</v>
      </c>
      <c r="G35" s="467"/>
      <c r="H35" s="467"/>
      <c r="I35" s="472" t="n">
        <v>0</v>
      </c>
      <c r="J35" s="294" t="n">
        <v>0.01</v>
      </c>
      <c r="K35" s="360" t="n">
        <f aca="false">$I35*$J35*K$2</f>
        <v>0</v>
      </c>
      <c r="L35" s="360" t="n">
        <f aca="false">$I35*$J35*L$2</f>
        <v>0</v>
      </c>
      <c r="M35" s="360" t="n">
        <f aca="false">$I35*$J35*M$2</f>
        <v>0</v>
      </c>
      <c r="N35" s="360" t="n">
        <f aca="false">$I35*$J35*N$2</f>
        <v>0</v>
      </c>
      <c r="O35" s="360" t="n">
        <f aca="false">$I35*$J35*O$2</f>
        <v>0</v>
      </c>
      <c r="P35" s="360" t="n">
        <f aca="false">$I35*$J35*P$2</f>
        <v>0</v>
      </c>
      <c r="Q35" s="360" t="n">
        <f aca="false">$I35*$J35*Q$2</f>
        <v>0</v>
      </c>
      <c r="R35" s="360" t="n">
        <f aca="false">$I35*$J35*R$2</f>
        <v>0</v>
      </c>
      <c r="S35" s="360" t="n">
        <f aca="false">$I35*$J35*S$2</f>
        <v>0</v>
      </c>
      <c r="T35" s="360" t="n">
        <f aca="false">$I35*$J35*T$2</f>
        <v>0</v>
      </c>
      <c r="U35" s="360" t="n">
        <f aca="false">$I35*$J35*U$2</f>
        <v>0</v>
      </c>
      <c r="V35" s="360" t="n">
        <f aca="false">$I35*$J35*V$2</f>
        <v>0</v>
      </c>
      <c r="W35" s="360" t="n">
        <f aca="false">SUM(K35:V35)</f>
        <v>0</v>
      </c>
      <c r="Z35" s="360" t="n">
        <f aca="false">Stretch!W36</f>
        <v>0</v>
      </c>
      <c r="AA35" s="417" t="n">
        <f aca="false">W35+Z35</f>
        <v>0</v>
      </c>
    </row>
    <row r="36" customFormat="false" ht="12.75" hidden="false" customHeight="true" outlineLevel="0" collapsed="false">
      <c r="A36" s="294" t="s">
        <v>405</v>
      </c>
      <c r="B36" s="294" t="s">
        <v>415</v>
      </c>
      <c r="C36" s="294" t="s">
        <v>5</v>
      </c>
      <c r="D36" s="294" t="s">
        <v>332</v>
      </c>
      <c r="E36" s="539"/>
      <c r="F36" s="466"/>
      <c r="G36" s="467"/>
      <c r="H36" s="467"/>
      <c r="I36" s="540"/>
      <c r="K36" s="368" t="n">
        <f aca="false">$I36*$J36*K$2</f>
        <v>0</v>
      </c>
      <c r="L36" s="368" t="n">
        <f aca="false">$I36*$J36*L$2</f>
        <v>0</v>
      </c>
      <c r="M36" s="368" t="n">
        <f aca="false">$I36*$J36*M$2</f>
        <v>0</v>
      </c>
      <c r="N36" s="368" t="n">
        <f aca="false">$I36*$J36*N$2</f>
        <v>0</v>
      </c>
      <c r="O36" s="368" t="n">
        <f aca="false">$I36*$J36*O$2</f>
        <v>0</v>
      </c>
      <c r="P36" s="368" t="n">
        <f aca="false">$I36*$J36*P$2</f>
        <v>0</v>
      </c>
      <c r="Q36" s="368" t="n">
        <f aca="false">$I36*$J36*Q$2</f>
        <v>0</v>
      </c>
      <c r="R36" s="368" t="n">
        <f aca="false">$I36*$J36*R$2</f>
        <v>0</v>
      </c>
      <c r="S36" s="368" t="n">
        <f aca="false">$I36*$J36*S$2</f>
        <v>0</v>
      </c>
      <c r="T36" s="368" t="n">
        <f aca="false">$I36*$J36*T$2</f>
        <v>0</v>
      </c>
      <c r="U36" s="368" t="n">
        <f aca="false">$I36*$J36*U$2</f>
        <v>0</v>
      </c>
      <c r="V36" s="368" t="n">
        <f aca="false">$I36*$J36*V$2</f>
        <v>0</v>
      </c>
      <c r="W36" s="368" t="n">
        <f aca="false">SUM(K36:V36)</f>
        <v>0</v>
      </c>
      <c r="Z36" s="368" t="n">
        <f aca="false">Stretch!W37</f>
        <v>0</v>
      </c>
      <c r="AA36" s="562" t="n">
        <f aca="false">W36+Z36</f>
        <v>0</v>
      </c>
    </row>
    <row r="37" customFormat="false" ht="12.75" hidden="false" customHeight="true" outlineLevel="0" collapsed="false">
      <c r="I37" s="417" t="n">
        <f aca="false">SUM(I27:I36)</f>
        <v>226700</v>
      </c>
      <c r="K37" s="417" t="n">
        <f aca="false">SUM(K27:K36)</f>
        <v>161587.5</v>
      </c>
      <c r="L37" s="417" t="n">
        <f aca="false">SUM(L27:L36)</f>
        <v>151886</v>
      </c>
      <c r="M37" s="417" t="n">
        <f aca="false">SUM(M27:M36)</f>
        <v>168159.5</v>
      </c>
      <c r="N37" s="417" t="n">
        <f aca="false">SUM(N27:N36)</f>
        <v>162735</v>
      </c>
      <c r="O37" s="417" t="n">
        <f aca="false">SUM(O27:O36)</f>
        <v>168159.5</v>
      </c>
      <c r="P37" s="417" t="n">
        <f aca="false">SUM(P27:P36)</f>
        <v>162735</v>
      </c>
      <c r="Q37" s="417" t="n">
        <f aca="false">SUM(Q27:Q36)</f>
        <v>168159.5</v>
      </c>
      <c r="R37" s="417" t="n">
        <f aca="false">SUM(R27:R36)</f>
        <v>168159.5</v>
      </c>
      <c r="S37" s="417" t="n">
        <f aca="false">SUM(S27:S36)</f>
        <v>162735</v>
      </c>
      <c r="T37" s="417" t="n">
        <f aca="false">SUM(T27:T36)</f>
        <v>168159.5</v>
      </c>
      <c r="U37" s="417" t="n">
        <f aca="false">SUM(U27:U36)</f>
        <v>162735</v>
      </c>
      <c r="V37" s="417" t="n">
        <f aca="false">SUM(V27:V36)</f>
        <v>172809.5</v>
      </c>
      <c r="W37" s="417" t="n">
        <f aca="false">SUM(W27:W36)</f>
        <v>1978020.5</v>
      </c>
      <c r="X37" s="417" t="n">
        <f aca="false">W37</f>
        <v>1978020.5</v>
      </c>
    </row>
    <row r="38" customFormat="false" ht="12.75" hidden="false" customHeight="true" outlineLevel="0" collapsed="false">
      <c r="W38" s="360"/>
      <c r="X38" s="360" t="n">
        <f aca="false">SUM(X11:X37)</f>
        <v>3995620.5</v>
      </c>
      <c r="Y38" s="417"/>
      <c r="Z38" s="417" t="n">
        <f aca="false">SUM(Z11:Z36)</f>
        <v>1047498</v>
      </c>
      <c r="AA38" s="417" t="n">
        <f aca="false">SUM(AA11:AA36)</f>
        <v>5043118.5</v>
      </c>
    </row>
    <row r="39" customFormat="false" ht="12.75" hidden="false" customHeight="true" outlineLevel="0" collapsed="false"/>
    <row r="40" customFormat="false" ht="12.75" hidden="false" customHeight="true" outlineLevel="0" collapsed="false">
      <c r="E40" s="374"/>
      <c r="H40" s="378"/>
      <c r="I40" s="360"/>
    </row>
    <row r="41" customFormat="false" ht="12.75" hidden="false" customHeight="true" outlineLevel="0" collapsed="false">
      <c r="E41" s="374"/>
      <c r="G41" s="375"/>
      <c r="H41" s="378"/>
      <c r="I41" s="360"/>
    </row>
    <row r="42" customFormat="false" ht="12.75" hidden="false" customHeight="true" outlineLevel="0" collapsed="false">
      <c r="A42" s="294" t="s">
        <v>482</v>
      </c>
      <c r="E42" s="359"/>
      <c r="G42" s="375"/>
      <c r="H42" s="378"/>
      <c r="I42" s="360"/>
    </row>
    <row r="43" customFormat="false" ht="12.75" hidden="false" customHeight="true" outlineLevel="0" collapsed="false">
      <c r="E43" s="359"/>
      <c r="H43" s="378"/>
      <c r="I43" s="360"/>
    </row>
    <row r="44" customFormat="false" ht="12.75" hidden="false" customHeight="true" outlineLevel="0" collapsed="false">
      <c r="E44" s="359"/>
      <c r="H44" s="378"/>
      <c r="I44" s="360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</row>
    <row r="45" customFormat="false" ht="12.75" hidden="false" customHeight="true" outlineLevel="0" collapsed="false">
      <c r="A45" s="294" t="s">
        <v>334</v>
      </c>
      <c r="B45" s="294" t="s">
        <v>335</v>
      </c>
      <c r="C45" s="294" t="s">
        <v>478</v>
      </c>
      <c r="D45" s="294" t="s">
        <v>336</v>
      </c>
      <c r="E45" s="359" t="s">
        <v>337</v>
      </c>
      <c r="F45" s="294" t="s">
        <v>338</v>
      </c>
      <c r="G45" s="294" t="s">
        <v>339</v>
      </c>
      <c r="H45" s="359" t="s">
        <v>340</v>
      </c>
      <c r="I45" s="360" t="s">
        <v>341</v>
      </c>
      <c r="J45" s="294" t="s">
        <v>118</v>
      </c>
      <c r="K45" s="542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</row>
    <row r="46" customFormat="false" ht="12.75" hidden="false" customHeight="true" outlineLevel="0" collapsed="false">
      <c r="E46" s="359"/>
      <c r="H46" s="359"/>
      <c r="I46" s="360"/>
      <c r="K46" s="541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</row>
    <row r="47" customFormat="false" ht="12.75" hidden="false" customHeight="true" outlineLevel="0" collapsed="false">
      <c r="A47" s="294" t="s">
        <v>343</v>
      </c>
      <c r="B47" s="294" t="s">
        <v>344</v>
      </c>
      <c r="C47" s="294" t="s">
        <v>5</v>
      </c>
      <c r="D47" s="294" t="s">
        <v>332</v>
      </c>
      <c r="E47" s="374" t="n">
        <v>26751</v>
      </c>
      <c r="F47" s="294" t="s">
        <v>345</v>
      </c>
      <c r="H47" s="378" t="n">
        <v>36922</v>
      </c>
      <c r="I47" s="360" t="n">
        <v>20000</v>
      </c>
      <c r="J47" s="294" t="n">
        <v>0.91</v>
      </c>
      <c r="K47" s="541"/>
      <c r="L47" s="545" t="n">
        <f aca="false">$I47*$J47*L$2</f>
        <v>509600</v>
      </c>
      <c r="M47" s="545" t="n">
        <f aca="false">$I47*$J47*M$2</f>
        <v>564200</v>
      </c>
      <c r="N47" s="545" t="n">
        <f aca="false">$I47*$J47*N$2</f>
        <v>546000</v>
      </c>
      <c r="O47" s="545" t="n">
        <f aca="false">$I47*$J47*O$2</f>
        <v>564200</v>
      </c>
      <c r="P47" s="545" t="n">
        <f aca="false">$I47*$J47*P$2</f>
        <v>546000</v>
      </c>
      <c r="Q47" s="545" t="n">
        <f aca="false">$I47*$J47*Q$2</f>
        <v>564200</v>
      </c>
      <c r="R47" s="545" t="n">
        <f aca="false">$I47*$J47*R$2</f>
        <v>564200</v>
      </c>
      <c r="S47" s="545" t="n">
        <f aca="false">$I47*$J47*S$2</f>
        <v>546000</v>
      </c>
      <c r="T47" s="545" t="n">
        <f aca="false">$I47*$J47*T$2</f>
        <v>564200</v>
      </c>
      <c r="U47" s="545" t="n">
        <f aca="false">$I47*$J47*U$2</f>
        <v>546000</v>
      </c>
      <c r="V47" s="545" t="n">
        <f aca="false">$I47*$J47*V$2</f>
        <v>564200</v>
      </c>
      <c r="W47" s="545"/>
      <c r="X47" s="545"/>
    </row>
    <row r="48" customFormat="false" ht="12.75" hidden="false" customHeight="true" outlineLevel="0" collapsed="false">
      <c r="A48" s="294" t="s">
        <v>343</v>
      </c>
      <c r="B48" s="294" t="s">
        <v>344</v>
      </c>
      <c r="C48" s="294" t="s">
        <v>5</v>
      </c>
      <c r="D48" s="294" t="s">
        <v>332</v>
      </c>
      <c r="E48" s="374" t="n">
        <v>26490</v>
      </c>
      <c r="F48" s="294" t="s">
        <v>350</v>
      </c>
      <c r="G48" s="375" t="n">
        <v>36100</v>
      </c>
      <c r="H48" s="378" t="n">
        <v>37195</v>
      </c>
      <c r="I48" s="360" t="n">
        <v>70000</v>
      </c>
      <c r="J48" s="294" t="n">
        <v>0.91</v>
      </c>
      <c r="K48" s="541"/>
      <c r="L48" s="545"/>
      <c r="M48" s="545"/>
      <c r="N48" s="545"/>
      <c r="O48" s="545"/>
      <c r="P48" s="545"/>
      <c r="Q48" s="545"/>
      <c r="R48" s="545"/>
      <c r="S48" s="545"/>
      <c r="T48" s="545"/>
      <c r="U48" s="545" t="n">
        <f aca="false">$I48*$J48*U$2</f>
        <v>1911000</v>
      </c>
      <c r="V48" s="545" t="n">
        <f aca="false">$I48*$J48*V$2</f>
        <v>1974700</v>
      </c>
      <c r="W48" s="545"/>
      <c r="X48" s="545"/>
    </row>
    <row r="49" customFormat="false" ht="12.75" hidden="false" customHeight="true" outlineLevel="0" collapsed="false">
      <c r="A49" s="294" t="s">
        <v>343</v>
      </c>
      <c r="B49" s="294" t="s">
        <v>344</v>
      </c>
      <c r="C49" s="294" t="s">
        <v>5</v>
      </c>
      <c r="D49" s="294" t="s">
        <v>332</v>
      </c>
      <c r="E49" s="359" t="n">
        <v>26683</v>
      </c>
      <c r="F49" s="294" t="s">
        <v>356</v>
      </c>
      <c r="G49" s="375" t="n">
        <v>36220</v>
      </c>
      <c r="H49" s="378" t="n">
        <v>36981</v>
      </c>
      <c r="I49" s="360" t="n">
        <v>8000</v>
      </c>
      <c r="J49" s="294" t="n">
        <v>0.91</v>
      </c>
      <c r="K49" s="546"/>
      <c r="L49" s="546"/>
      <c r="M49" s="546"/>
      <c r="N49" s="546"/>
      <c r="O49" s="546" t="n">
        <f aca="false">$I49*$J49*O$2</f>
        <v>225680</v>
      </c>
      <c r="P49" s="546" t="n">
        <f aca="false">$I49*$J49*P$2</f>
        <v>218400</v>
      </c>
      <c r="Q49" s="546" t="n">
        <f aca="false">$I49*$J49*Q$2</f>
        <v>225680</v>
      </c>
      <c r="R49" s="546" t="n">
        <f aca="false">$I49*$J49*R$2</f>
        <v>225680</v>
      </c>
      <c r="S49" s="546" t="n">
        <f aca="false">$I49*$J49*S$2</f>
        <v>218400</v>
      </c>
      <c r="T49" s="546" t="n">
        <f aca="false">$I49*$J49*T$2</f>
        <v>225680</v>
      </c>
      <c r="U49" s="546" t="n">
        <f aca="false">$I49*$J49*U$2</f>
        <v>218400</v>
      </c>
      <c r="V49" s="546" t="n">
        <f aca="false">$I49*$J49*V$2</f>
        <v>225680</v>
      </c>
      <c r="W49" s="545"/>
      <c r="X49" s="545"/>
    </row>
    <row r="50" customFormat="false" ht="12.75" hidden="false" customHeight="true" outlineLevel="0" collapsed="false">
      <c r="E50" s="359"/>
      <c r="G50" s="375"/>
      <c r="H50" s="378"/>
      <c r="I50" s="360"/>
      <c r="K50" s="545" t="n">
        <f aca="false">SUM(K47:K49)</f>
        <v>0</v>
      </c>
      <c r="L50" s="545" t="n">
        <f aca="false">SUM(L47:L49)</f>
        <v>509600</v>
      </c>
      <c r="M50" s="545" t="n">
        <f aca="false">SUM(M47:M49)</f>
        <v>564200</v>
      </c>
      <c r="N50" s="545" t="n">
        <f aca="false">SUM(N47:N49)</f>
        <v>546000</v>
      </c>
      <c r="O50" s="545" t="n">
        <f aca="false">SUM(O47:O49)</f>
        <v>789880</v>
      </c>
      <c r="P50" s="545" t="n">
        <f aca="false">SUM(P47:P49)</f>
        <v>764400</v>
      </c>
      <c r="Q50" s="545" t="n">
        <f aca="false">SUM(Q47:Q49)</f>
        <v>789880</v>
      </c>
      <c r="R50" s="545" t="n">
        <f aca="false">SUM(R47:R49)</f>
        <v>789880</v>
      </c>
      <c r="S50" s="545" t="n">
        <f aca="false">SUM(S47:S49)</f>
        <v>764400</v>
      </c>
      <c r="T50" s="545" t="n">
        <f aca="false">SUM(T47:T49)</f>
        <v>789880</v>
      </c>
      <c r="U50" s="545" t="n">
        <f aca="false">SUM(U47:U49)</f>
        <v>2675400</v>
      </c>
      <c r="V50" s="545" t="n">
        <f aca="false">SUM(V47:V49)</f>
        <v>2764580</v>
      </c>
      <c r="W50" s="545"/>
      <c r="X50" s="545"/>
    </row>
    <row r="51" customFormat="false" ht="12.75" hidden="false" customHeight="true" outlineLevel="0" collapsed="false">
      <c r="E51" s="359"/>
      <c r="G51" s="375"/>
      <c r="H51" s="378"/>
      <c r="I51" s="360"/>
      <c r="K51" s="541"/>
      <c r="L51" s="545"/>
      <c r="M51" s="545"/>
      <c r="N51" s="545"/>
      <c r="O51" s="545"/>
      <c r="P51" s="545"/>
      <c r="Q51" s="545"/>
      <c r="R51" s="545"/>
      <c r="S51" s="545"/>
      <c r="T51" s="545"/>
      <c r="U51" s="545"/>
      <c r="V51" s="545"/>
      <c r="W51" s="545"/>
      <c r="X51" s="545"/>
    </row>
    <row r="52" customFormat="false" ht="12.75" hidden="false" customHeight="true" outlineLevel="0" collapsed="false">
      <c r="E52" s="359"/>
      <c r="H52" s="378"/>
      <c r="I52" s="360"/>
      <c r="K52" s="541"/>
      <c r="L52" s="545"/>
      <c r="M52" s="545"/>
      <c r="N52" s="545"/>
      <c r="O52" s="545"/>
      <c r="P52" s="545"/>
      <c r="Q52" s="545"/>
      <c r="R52" s="545"/>
      <c r="S52" s="545"/>
      <c r="T52" s="545"/>
      <c r="U52" s="545"/>
      <c r="V52" s="545"/>
      <c r="W52" s="545"/>
      <c r="X52" s="545"/>
    </row>
    <row r="53" customFormat="false" ht="12.75" hidden="false" customHeight="true" outlineLevel="0" collapsed="false">
      <c r="E53" s="359"/>
      <c r="H53" s="378"/>
      <c r="I53" s="360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5"/>
      <c r="X53" s="545"/>
    </row>
    <row r="54" customFormat="false" ht="12.75" hidden="false" customHeight="true" outlineLevel="0" collapsed="false">
      <c r="E54" s="359"/>
      <c r="H54" s="378"/>
      <c r="I54" s="360"/>
      <c r="K54" s="545" t="n">
        <f aca="false">SUM(K51:K53)</f>
        <v>0</v>
      </c>
      <c r="L54" s="545" t="n">
        <f aca="false">SUM(L51:L53)</f>
        <v>0</v>
      </c>
      <c r="M54" s="545" t="n">
        <f aca="false">SUM(M51:M53)</f>
        <v>0</v>
      </c>
      <c r="N54" s="545" t="n">
        <f aca="false">SUM(N51:N53)</f>
        <v>0</v>
      </c>
      <c r="O54" s="545" t="n">
        <f aca="false">SUM(O51:O53)</f>
        <v>0</v>
      </c>
      <c r="P54" s="545" t="n">
        <f aca="false">SUM(P51:P53)</f>
        <v>0</v>
      </c>
      <c r="Q54" s="545" t="n">
        <f aca="false">SUM(Q51:Q53)</f>
        <v>0</v>
      </c>
      <c r="R54" s="545" t="n">
        <f aca="false">SUM(R51:R53)</f>
        <v>0</v>
      </c>
      <c r="S54" s="545" t="n">
        <f aca="false">SUM(S51:S53)</f>
        <v>0</v>
      </c>
      <c r="T54" s="545" t="n">
        <f aca="false">SUM(T51:T53)</f>
        <v>0</v>
      </c>
      <c r="U54" s="545" t="n">
        <f aca="false">SUM(U51:U53)</f>
        <v>0</v>
      </c>
      <c r="V54" s="545" t="n">
        <f aca="false">SUM(V51:V53)</f>
        <v>0</v>
      </c>
      <c r="W54" s="545"/>
      <c r="X54" s="545"/>
    </row>
    <row r="55" customFormat="false" ht="12.75" hidden="false" customHeight="true" outlineLevel="0" collapsed="false">
      <c r="E55" s="359"/>
      <c r="H55" s="378"/>
      <c r="I55" s="360"/>
      <c r="K55" s="541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545"/>
      <c r="W55" s="545"/>
      <c r="X55" s="545"/>
    </row>
    <row r="56" customFormat="false" ht="12.75" hidden="false" customHeight="true" outlineLevel="0" collapsed="false">
      <c r="A56" s="294" t="s">
        <v>231</v>
      </c>
      <c r="B56" s="294" t="s">
        <v>425</v>
      </c>
      <c r="C56" s="294" t="s">
        <v>5</v>
      </c>
      <c r="D56" s="294" t="s">
        <v>332</v>
      </c>
      <c r="E56" s="538" t="n">
        <v>24194</v>
      </c>
      <c r="F56" s="462" t="s">
        <v>426</v>
      </c>
      <c r="H56" s="463" t="n">
        <v>37164</v>
      </c>
      <c r="I56" s="464" t="n">
        <v>25000</v>
      </c>
      <c r="J56" s="294" t="n">
        <v>0.78</v>
      </c>
      <c r="K56" s="541"/>
      <c r="L56" s="545"/>
      <c r="M56" s="545"/>
      <c r="N56" s="545"/>
      <c r="O56" s="545"/>
      <c r="P56" s="545"/>
      <c r="Q56" s="545"/>
      <c r="R56" s="545"/>
      <c r="S56" s="545"/>
      <c r="T56" s="545" t="n">
        <f aca="false">$I56*$J56*T$2</f>
        <v>604500</v>
      </c>
      <c r="U56" s="545" t="n">
        <f aca="false">$I56*$J56*U$2</f>
        <v>585000</v>
      </c>
      <c r="V56" s="545" t="n">
        <f aca="false">$I56*$J56*U$2</f>
        <v>585000</v>
      </c>
      <c r="W56" s="545"/>
      <c r="X56" s="545"/>
    </row>
    <row r="57" customFormat="false" ht="12.75" hidden="false" customHeight="true" outlineLevel="0" collapsed="false">
      <c r="E57" s="538"/>
      <c r="F57" s="462"/>
      <c r="H57" s="463"/>
      <c r="I57" s="464"/>
      <c r="K57" s="541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</row>
    <row r="58" customFormat="false" ht="12.75" hidden="false" customHeight="true" outlineLevel="0" collapsed="false">
      <c r="A58" s="294" t="s">
        <v>231</v>
      </c>
      <c r="B58" s="294" t="s">
        <v>425</v>
      </c>
      <c r="C58" s="294" t="s">
        <v>5</v>
      </c>
      <c r="D58" s="294" t="s">
        <v>332</v>
      </c>
      <c r="E58" s="539" t="n">
        <v>24690</v>
      </c>
      <c r="F58" s="466" t="s">
        <v>430</v>
      </c>
      <c r="H58" s="467" t="n">
        <v>36981</v>
      </c>
      <c r="I58" s="468" t="n">
        <v>15000</v>
      </c>
      <c r="J58" s="294" t="n">
        <v>0.78</v>
      </c>
      <c r="K58" s="541"/>
      <c r="L58" s="545"/>
      <c r="M58" s="545"/>
      <c r="N58" s="545" t="n">
        <f aca="false">$I58*$J58*N$2</f>
        <v>351000</v>
      </c>
      <c r="O58" s="545" t="n">
        <f aca="false">$I58*$J58*O$2</f>
        <v>362700</v>
      </c>
      <c r="P58" s="545" t="n">
        <f aca="false">$I58*$J58*P$2</f>
        <v>351000</v>
      </c>
      <c r="Q58" s="545" t="n">
        <f aca="false">$I58*$J58*Q$2</f>
        <v>362700</v>
      </c>
      <c r="R58" s="545" t="n">
        <f aca="false">$I58*$J58*R$2</f>
        <v>362700</v>
      </c>
      <c r="S58" s="545" t="n">
        <f aca="false">$I58*$J58*S$2</f>
        <v>351000</v>
      </c>
      <c r="T58" s="545" t="n">
        <f aca="false">$I58*$J58*T$2</f>
        <v>362700</v>
      </c>
      <c r="U58" s="545" t="n">
        <f aca="false">$I58*$J58*U$2</f>
        <v>351000</v>
      </c>
      <c r="V58" s="545" t="n">
        <f aca="false">$I58*$J58*V$2</f>
        <v>362700</v>
      </c>
      <c r="W58" s="545"/>
      <c r="X58" s="545"/>
    </row>
    <row r="59" customFormat="false" ht="12.75" hidden="false" customHeight="true" outlineLevel="0" collapsed="false">
      <c r="A59" s="294" t="s">
        <v>231</v>
      </c>
      <c r="B59" s="294" t="s">
        <v>425</v>
      </c>
      <c r="C59" s="294" t="s">
        <v>5</v>
      </c>
      <c r="D59" s="294" t="s">
        <v>332</v>
      </c>
      <c r="E59" s="539" t="n">
        <v>24754</v>
      </c>
      <c r="F59" s="466" t="s">
        <v>431</v>
      </c>
      <c r="H59" s="481" t="n">
        <v>37011</v>
      </c>
      <c r="I59" s="468" t="n">
        <v>1000</v>
      </c>
      <c r="J59" s="294" t="n">
        <v>0.78</v>
      </c>
      <c r="K59" s="541"/>
      <c r="L59" s="547"/>
      <c r="M59" s="547"/>
      <c r="N59" s="547"/>
      <c r="O59" s="545" t="n">
        <f aca="false">$I59*$J59*O$2</f>
        <v>24180</v>
      </c>
      <c r="P59" s="545" t="n">
        <f aca="false">$I59*$J59*P$2</f>
        <v>23400</v>
      </c>
      <c r="Q59" s="545" t="n">
        <f aca="false">$I59*$J59*Q$2</f>
        <v>24180</v>
      </c>
      <c r="R59" s="545" t="n">
        <f aca="false">$I59*$J59*R$2</f>
        <v>24180</v>
      </c>
      <c r="S59" s="545" t="n">
        <f aca="false">$I59*$J59*S$2</f>
        <v>23400</v>
      </c>
      <c r="T59" s="545" t="n">
        <f aca="false">$I59*$J59*T$2</f>
        <v>24180</v>
      </c>
      <c r="U59" s="545" t="n">
        <f aca="false">$I59*$J59*U$2</f>
        <v>23400</v>
      </c>
      <c r="V59" s="545" t="n">
        <f aca="false">$I59*$J59*V$2</f>
        <v>24180</v>
      </c>
      <c r="W59" s="547"/>
      <c r="X59" s="545"/>
    </row>
    <row r="60" customFormat="false" ht="12.75" hidden="false" customHeight="true" outlineLevel="0" collapsed="false">
      <c r="A60" s="294" t="s">
        <v>231</v>
      </c>
      <c r="B60" s="294" t="s">
        <v>425</v>
      </c>
      <c r="C60" s="294" t="s">
        <v>5</v>
      </c>
      <c r="D60" s="294" t="s">
        <v>332</v>
      </c>
      <c r="E60" s="539" t="s">
        <v>433</v>
      </c>
      <c r="F60" s="466" t="s">
        <v>357</v>
      </c>
      <c r="H60" s="467" t="n">
        <v>36950</v>
      </c>
      <c r="I60" s="468" t="n">
        <v>10000</v>
      </c>
      <c r="J60" s="294" t="n">
        <v>0.78</v>
      </c>
      <c r="K60" s="541"/>
      <c r="L60" s="545"/>
      <c r="M60" s="545" t="n">
        <f aca="false">$I60*$J60*M$2</f>
        <v>241800</v>
      </c>
      <c r="N60" s="545" t="n">
        <f aca="false">$I60*$J60*N$2</f>
        <v>234000</v>
      </c>
      <c r="O60" s="545" t="n">
        <f aca="false">$I60*$J60*O$2</f>
        <v>241800</v>
      </c>
      <c r="P60" s="545" t="n">
        <f aca="false">$I60*$J60*P$2</f>
        <v>234000</v>
      </c>
      <c r="Q60" s="545" t="n">
        <f aca="false">$I60*$J60*Q$2</f>
        <v>241800</v>
      </c>
      <c r="R60" s="545" t="n">
        <f aca="false">$I60*$J60*R$2</f>
        <v>241800</v>
      </c>
      <c r="S60" s="545" t="n">
        <f aca="false">$I60*$J60*S$2</f>
        <v>234000</v>
      </c>
      <c r="T60" s="545" t="n">
        <f aca="false">$I60*$J60*T$2</f>
        <v>241800</v>
      </c>
      <c r="U60" s="545" t="n">
        <f aca="false">$I60*$J60*U$2</f>
        <v>234000</v>
      </c>
      <c r="V60" s="545" t="n">
        <f aca="false">$I60*$J60*V$2</f>
        <v>241800</v>
      </c>
      <c r="W60" s="547"/>
      <c r="X60" s="545"/>
    </row>
    <row r="61" customFormat="false" ht="12.75" hidden="false" customHeight="true" outlineLevel="0" collapsed="false">
      <c r="A61" s="294" t="s">
        <v>231</v>
      </c>
      <c r="B61" s="294" t="s">
        <v>425</v>
      </c>
      <c r="C61" s="294" t="s">
        <v>5</v>
      </c>
      <c r="D61" s="294" t="s">
        <v>332</v>
      </c>
      <c r="E61" s="539" t="n">
        <v>27161</v>
      </c>
      <c r="F61" s="466" t="s">
        <v>434</v>
      </c>
      <c r="H61" s="467" t="n">
        <v>37195</v>
      </c>
      <c r="I61" s="472" t="n">
        <v>400000</v>
      </c>
      <c r="J61" s="294" t="n">
        <v>0.25</v>
      </c>
      <c r="K61" s="541"/>
      <c r="L61" s="547"/>
      <c r="M61" s="547"/>
      <c r="N61" s="547"/>
      <c r="O61" s="547"/>
      <c r="P61" s="547"/>
      <c r="Q61" s="547"/>
      <c r="R61" s="547"/>
      <c r="S61" s="547"/>
      <c r="T61" s="547"/>
      <c r="U61" s="545" t="n">
        <f aca="false">$I61*$J61*U$2</f>
        <v>3000000</v>
      </c>
      <c r="V61" s="545" t="n">
        <f aca="false">$I61*$J61*V$2</f>
        <v>3100000</v>
      </c>
      <c r="W61" s="547"/>
      <c r="X61" s="545"/>
    </row>
    <row r="62" customFormat="false" ht="12.75" hidden="false" customHeight="true" outlineLevel="0" collapsed="false">
      <c r="A62" s="294" t="s">
        <v>231</v>
      </c>
      <c r="B62" s="294" t="s">
        <v>425</v>
      </c>
      <c r="C62" s="294" t="s">
        <v>5</v>
      </c>
      <c r="D62" s="294" t="s">
        <v>332</v>
      </c>
      <c r="E62" s="539" t="s">
        <v>435</v>
      </c>
      <c r="F62" s="466" t="s">
        <v>350</v>
      </c>
      <c r="H62" s="467" t="n">
        <v>37195</v>
      </c>
      <c r="I62" s="540" t="n">
        <v>40000</v>
      </c>
      <c r="J62" s="294" t="n">
        <v>0.78</v>
      </c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 t="n">
        <f aca="false">$I62*$J62*U$2</f>
        <v>936000</v>
      </c>
      <c r="V62" s="546" t="n">
        <f aca="false">$I62*$J62*V$2</f>
        <v>967200</v>
      </c>
      <c r="W62" s="547"/>
      <c r="X62" s="545"/>
    </row>
    <row r="63" customFormat="false" ht="12.75" hidden="false" customHeight="true" outlineLevel="0" collapsed="false">
      <c r="E63" s="539"/>
      <c r="F63" s="466"/>
      <c r="H63" s="467"/>
      <c r="I63" s="472" t="n">
        <f aca="false">SUM(I56:I62)</f>
        <v>491000</v>
      </c>
      <c r="K63" s="545" t="n">
        <f aca="false">SUM(K60:K62)</f>
        <v>0</v>
      </c>
      <c r="L63" s="545" t="n">
        <f aca="false">SUM(L60:L62)</f>
        <v>0</v>
      </c>
      <c r="M63" s="545" t="n">
        <f aca="false">SUM(M60:M62)</f>
        <v>241800</v>
      </c>
      <c r="N63" s="545" t="n">
        <f aca="false">SUM(N60:N62)</f>
        <v>234000</v>
      </c>
      <c r="O63" s="545" t="n">
        <f aca="false">SUM(O60:O62)</f>
        <v>241800</v>
      </c>
      <c r="P63" s="545" t="n">
        <f aca="false">SUM(P60:P62)</f>
        <v>234000</v>
      </c>
      <c r="Q63" s="545" t="n">
        <f aca="false">SUM(Q60:Q62)</f>
        <v>241800</v>
      </c>
      <c r="R63" s="545" t="n">
        <f aca="false">SUM(R60:R62)</f>
        <v>241800</v>
      </c>
      <c r="S63" s="545" t="n">
        <f aca="false">SUM(S60:S62)</f>
        <v>234000</v>
      </c>
      <c r="T63" s="545" t="n">
        <f aca="false">SUM(T60:T62)</f>
        <v>241800</v>
      </c>
      <c r="U63" s="545" t="n">
        <f aca="false">SUM(U60:U62)</f>
        <v>4170000</v>
      </c>
      <c r="V63" s="545" t="n">
        <f aca="false">SUM(V60:V62)</f>
        <v>4309000</v>
      </c>
      <c r="W63" s="547"/>
      <c r="X63" s="545"/>
    </row>
    <row r="64" customFormat="false" ht="12.75" hidden="false" customHeight="true" outlineLevel="0" collapsed="false">
      <c r="E64" s="539"/>
      <c r="F64" s="466"/>
      <c r="H64" s="467"/>
      <c r="I64" s="472"/>
      <c r="K64" s="541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5"/>
    </row>
    <row r="65" customFormat="false" ht="12.75" hidden="false" customHeight="true" outlineLevel="0" collapsed="false">
      <c r="A65" s="294" t="s">
        <v>405</v>
      </c>
      <c r="B65" s="294" t="s">
        <v>406</v>
      </c>
      <c r="C65" s="294" t="s">
        <v>5</v>
      </c>
      <c r="D65" s="294" t="s">
        <v>332</v>
      </c>
      <c r="E65" s="374" t="n">
        <v>25067</v>
      </c>
      <c r="F65" s="440" t="s">
        <v>407</v>
      </c>
      <c r="H65" s="378" t="n">
        <v>37225</v>
      </c>
      <c r="I65" s="360" t="n">
        <v>15000</v>
      </c>
      <c r="J65" s="294" t="n">
        <v>0.73</v>
      </c>
      <c r="K65" s="541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5" t="n">
        <f aca="false">$I65*$J65*V$2</f>
        <v>339450</v>
      </c>
      <c r="W65" s="547"/>
      <c r="X65" s="545"/>
    </row>
    <row r="66" customFormat="false" ht="12.75" hidden="false" customHeight="true" outlineLevel="0" collapsed="false">
      <c r="E66" s="438"/>
      <c r="F66" s="443"/>
      <c r="H66" s="378"/>
      <c r="I66" s="360"/>
      <c r="K66" s="541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7"/>
      <c r="X66" s="545"/>
    </row>
    <row r="67" customFormat="false" ht="12.75" hidden="false" customHeight="true" outlineLevel="0" collapsed="false">
      <c r="A67" s="294" t="s">
        <v>405</v>
      </c>
      <c r="B67" s="294" t="s">
        <v>415</v>
      </c>
      <c r="C67" s="294" t="s">
        <v>5</v>
      </c>
      <c r="D67" s="294" t="s">
        <v>332</v>
      </c>
      <c r="E67" s="438" t="n">
        <v>24926</v>
      </c>
      <c r="F67" s="443" t="s">
        <v>417</v>
      </c>
      <c r="H67" s="378" t="n">
        <v>36922</v>
      </c>
      <c r="I67" s="360" t="n">
        <v>30000</v>
      </c>
      <c r="J67" s="294" t="n">
        <v>0.73</v>
      </c>
      <c r="K67" s="541"/>
      <c r="L67" s="545" t="n">
        <f aca="false">$I67*$J67*L$2</f>
        <v>613200</v>
      </c>
      <c r="M67" s="545" t="n">
        <f aca="false">$I67*$J67*M$2</f>
        <v>678900</v>
      </c>
      <c r="N67" s="545" t="n">
        <f aca="false">$I67*$J67*N$2</f>
        <v>657000</v>
      </c>
      <c r="O67" s="545" t="n">
        <f aca="false">$I67*$J67*O$2</f>
        <v>678900</v>
      </c>
      <c r="P67" s="545" t="n">
        <f aca="false">$I67*$J67*P$2</f>
        <v>657000</v>
      </c>
      <c r="Q67" s="545" t="n">
        <f aca="false">$I67*$J67*Q$2</f>
        <v>678900</v>
      </c>
      <c r="R67" s="545" t="n">
        <f aca="false">$I67*$J67*R$2</f>
        <v>678900</v>
      </c>
      <c r="S67" s="545" t="n">
        <f aca="false">$I67*$J67*S$2</f>
        <v>657000</v>
      </c>
      <c r="T67" s="545" t="n">
        <f aca="false">$I67*$J67*T$2</f>
        <v>678900</v>
      </c>
      <c r="U67" s="545" t="n">
        <f aca="false">$I67*$J67*U$2</f>
        <v>657000</v>
      </c>
      <c r="V67" s="545" t="n">
        <f aca="false">$I67*$J67*V$2</f>
        <v>678900</v>
      </c>
      <c r="W67" s="545"/>
      <c r="X67" s="545"/>
    </row>
    <row r="68" customFormat="false" ht="12.75" hidden="false" customHeight="true" outlineLevel="0" collapsed="false">
      <c r="A68" s="294" t="s">
        <v>405</v>
      </c>
      <c r="B68" s="294" t="s">
        <v>406</v>
      </c>
      <c r="C68" s="294" t="s">
        <v>5</v>
      </c>
      <c r="D68" s="294" t="s">
        <v>332</v>
      </c>
      <c r="E68" s="539" t="n">
        <v>25597</v>
      </c>
      <c r="F68" s="466" t="s">
        <v>432</v>
      </c>
      <c r="G68" s="467" t="n">
        <v>35704</v>
      </c>
      <c r="H68" s="467" t="n">
        <v>36891</v>
      </c>
      <c r="I68" s="472" t="n">
        <v>30000</v>
      </c>
      <c r="J68" s="294" t="n">
        <v>0.73</v>
      </c>
      <c r="K68" s="545" t="n">
        <f aca="false">$I68*$J68*K$2</f>
        <v>678900</v>
      </c>
      <c r="L68" s="545" t="n">
        <f aca="false">$I68*$J68*L$2</f>
        <v>613200</v>
      </c>
      <c r="M68" s="545" t="n">
        <f aca="false">$I68*$J68*M$2</f>
        <v>678900</v>
      </c>
      <c r="N68" s="545" t="n">
        <f aca="false">$I68*$J68*N$2</f>
        <v>657000</v>
      </c>
      <c r="O68" s="545" t="n">
        <f aca="false">$I68*$J68*O$2</f>
        <v>678900</v>
      </c>
      <c r="P68" s="545" t="n">
        <f aca="false">$I68*$J68*P$2</f>
        <v>657000</v>
      </c>
      <c r="Q68" s="545" t="n">
        <f aca="false">$I68*$J68*Q$2</f>
        <v>678900</v>
      </c>
      <c r="R68" s="545" t="n">
        <f aca="false">$I68*$J68*R$2</f>
        <v>678900</v>
      </c>
      <c r="S68" s="545" t="n">
        <f aca="false">$I68*$J68*S$2</f>
        <v>657000</v>
      </c>
      <c r="T68" s="545" t="n">
        <f aca="false">$I68*$J68*T$2</f>
        <v>678900</v>
      </c>
      <c r="U68" s="545" t="n">
        <f aca="false">$I68*$J68*U$2</f>
        <v>657000</v>
      </c>
      <c r="V68" s="545" t="n">
        <f aca="false">$I68*$J68*V$2</f>
        <v>678900</v>
      </c>
      <c r="W68" s="545"/>
      <c r="X68" s="545"/>
    </row>
    <row r="69" customFormat="false" ht="12.75" hidden="false" customHeight="true" outlineLevel="0" collapsed="false">
      <c r="A69" s="294" t="s">
        <v>405</v>
      </c>
      <c r="B69" s="294" t="s">
        <v>406</v>
      </c>
      <c r="C69" s="294" t="s">
        <v>5</v>
      </c>
      <c r="D69" s="294" t="s">
        <v>332</v>
      </c>
      <c r="E69" s="539" t="n">
        <v>26661</v>
      </c>
      <c r="F69" s="466" t="s">
        <v>479</v>
      </c>
      <c r="G69" s="467" t="n">
        <v>36526</v>
      </c>
      <c r="H69" s="467" t="n">
        <v>36891</v>
      </c>
      <c r="I69" s="472" t="n">
        <v>18000</v>
      </c>
      <c r="J69" s="294" t="n">
        <v>0.73</v>
      </c>
      <c r="K69" s="545" t="n">
        <f aca="false">$I69*$J69*K$2</f>
        <v>407340</v>
      </c>
      <c r="L69" s="545" t="n">
        <f aca="false">$I69*$J69*L$2</f>
        <v>367920</v>
      </c>
      <c r="M69" s="545" t="n">
        <f aca="false">$I69*$J69*M$2</f>
        <v>407340</v>
      </c>
      <c r="N69" s="545" t="n">
        <f aca="false">$I69*$J69*N$2</f>
        <v>394200</v>
      </c>
      <c r="O69" s="545" t="n">
        <f aca="false">$I69*$J69*O$2</f>
        <v>407340</v>
      </c>
      <c r="P69" s="545" t="n">
        <f aca="false">$I69*$J69*P$2</f>
        <v>394200</v>
      </c>
      <c r="Q69" s="545" t="n">
        <f aca="false">$I69*$J69*Q$2</f>
        <v>407340</v>
      </c>
      <c r="R69" s="545" t="n">
        <f aca="false">$I69*$J69*R$2</f>
        <v>407340</v>
      </c>
      <c r="S69" s="545" t="n">
        <f aca="false">$I69*$J69*S$2</f>
        <v>394200</v>
      </c>
      <c r="T69" s="545" t="n">
        <f aca="false">$I69*$J69*T$2</f>
        <v>407340</v>
      </c>
      <c r="U69" s="545" t="n">
        <f aca="false">$I69*$J69*U$2</f>
        <v>394200</v>
      </c>
      <c r="V69" s="545" t="n">
        <f aca="false">$I69*$J69*V$2</f>
        <v>407340</v>
      </c>
      <c r="W69" s="545"/>
      <c r="X69" s="545"/>
    </row>
    <row r="70" customFormat="false" ht="12.75" hidden="false" customHeight="true" outlineLevel="0" collapsed="false">
      <c r="A70" s="294" t="s">
        <v>405</v>
      </c>
      <c r="B70" s="294" t="s">
        <v>415</v>
      </c>
      <c r="C70" s="294" t="s">
        <v>5</v>
      </c>
      <c r="D70" s="294" t="s">
        <v>332</v>
      </c>
      <c r="E70" s="539" t="s">
        <v>480</v>
      </c>
      <c r="F70" s="466" t="s">
        <v>372</v>
      </c>
      <c r="G70" s="467" t="n">
        <v>36526</v>
      </c>
      <c r="H70" s="467" t="n">
        <v>36891</v>
      </c>
      <c r="I70" s="472" t="n">
        <v>13500</v>
      </c>
      <c r="J70" s="294" t="n">
        <v>0.73</v>
      </c>
      <c r="K70" s="545" t="n">
        <f aca="false">$I70*$J70*K$2</f>
        <v>305505</v>
      </c>
      <c r="L70" s="545" t="n">
        <f aca="false">$I70*$J70*L$2</f>
        <v>275940</v>
      </c>
      <c r="M70" s="545" t="n">
        <f aca="false">$I70*$J70*M$2</f>
        <v>305505</v>
      </c>
      <c r="N70" s="545" t="n">
        <f aca="false">$I70*$J70*N$2</f>
        <v>295650</v>
      </c>
      <c r="O70" s="545" t="n">
        <f aca="false">$I70*$J70*O$2</f>
        <v>305505</v>
      </c>
      <c r="P70" s="545" t="n">
        <f aca="false">$I70*$J70*P$2</f>
        <v>295650</v>
      </c>
      <c r="Q70" s="545" t="n">
        <f aca="false">$I70*$J70*Q$2</f>
        <v>305505</v>
      </c>
      <c r="R70" s="545" t="n">
        <f aca="false">$I70*$J70*R$2</f>
        <v>305505</v>
      </c>
      <c r="S70" s="545" t="n">
        <f aca="false">$I70*$J70*S$2</f>
        <v>295650</v>
      </c>
      <c r="T70" s="545" t="n">
        <f aca="false">$I70*$J70*T$2</f>
        <v>305505</v>
      </c>
      <c r="U70" s="545" t="n">
        <f aca="false">$I70*$J70*U$2</f>
        <v>295650</v>
      </c>
      <c r="V70" s="545" t="n">
        <f aca="false">$I70*$J70*V$2</f>
        <v>305505</v>
      </c>
      <c r="W70" s="545"/>
      <c r="X70" s="545"/>
    </row>
    <row r="71" customFormat="false" ht="12.75" hidden="false" customHeight="true" outlineLevel="0" collapsed="false">
      <c r="A71" s="294" t="s">
        <v>405</v>
      </c>
      <c r="B71" s="294" t="s">
        <v>415</v>
      </c>
      <c r="C71" s="294" t="s">
        <v>5</v>
      </c>
      <c r="D71" s="294" t="s">
        <v>332</v>
      </c>
      <c r="E71" s="539" t="n">
        <v>27047</v>
      </c>
      <c r="F71" s="466" t="s">
        <v>422</v>
      </c>
      <c r="G71" s="467" t="n">
        <v>36557</v>
      </c>
      <c r="H71" s="467" t="n">
        <v>36891</v>
      </c>
      <c r="I71" s="472" t="n">
        <v>70000</v>
      </c>
      <c r="J71" s="294" t="n">
        <v>0.73</v>
      </c>
      <c r="K71" s="545" t="n">
        <f aca="false">$I71*$J71*K$2</f>
        <v>1584100</v>
      </c>
      <c r="L71" s="545" t="n">
        <f aca="false">$I71*$J71*L$2</f>
        <v>1430800</v>
      </c>
      <c r="M71" s="545" t="n">
        <f aca="false">$I71*$J71*M$2</f>
        <v>1584100</v>
      </c>
      <c r="N71" s="545" t="n">
        <f aca="false">$I71*$J71*N$2</f>
        <v>1533000</v>
      </c>
      <c r="O71" s="545" t="n">
        <f aca="false">$I71*$J71*O$2</f>
        <v>1584100</v>
      </c>
      <c r="P71" s="545" t="n">
        <f aca="false">$I71*$J71*P$2</f>
        <v>1533000</v>
      </c>
      <c r="Q71" s="545" t="n">
        <f aca="false">$I71*$J71*Q$2</f>
        <v>1584100</v>
      </c>
      <c r="R71" s="545" t="n">
        <f aca="false">$I71*$J71*R$2</f>
        <v>1584100</v>
      </c>
      <c r="S71" s="545" t="n">
        <f aca="false">$I71*$J71*S$2</f>
        <v>1533000</v>
      </c>
      <c r="T71" s="545" t="n">
        <f aca="false">$I71*$J71*T$2</f>
        <v>1584100</v>
      </c>
      <c r="U71" s="545" t="n">
        <f aca="false">$I71*$J71*U$2</f>
        <v>1533000</v>
      </c>
      <c r="V71" s="545" t="n">
        <f aca="false">$I71*$J71*V$2</f>
        <v>1584100</v>
      </c>
      <c r="W71" s="545"/>
      <c r="X71" s="545"/>
    </row>
    <row r="72" customFormat="false" ht="12.75" hidden="false" customHeight="true" outlineLevel="0" collapsed="false">
      <c r="A72" s="294" t="s">
        <v>405</v>
      </c>
      <c r="B72" s="294" t="s">
        <v>415</v>
      </c>
      <c r="C72" s="294" t="s">
        <v>5</v>
      </c>
      <c r="D72" s="294" t="s">
        <v>332</v>
      </c>
      <c r="E72" s="539" t="n">
        <v>27017</v>
      </c>
      <c r="F72" s="466" t="s">
        <v>481</v>
      </c>
      <c r="G72" s="467" t="n">
        <v>36526</v>
      </c>
      <c r="H72" s="467" t="n">
        <v>36891</v>
      </c>
      <c r="I72" s="472" t="n">
        <v>30000</v>
      </c>
      <c r="J72" s="294" t="n">
        <v>0.73</v>
      </c>
      <c r="K72" s="546" t="n">
        <f aca="false">$I72*$J72*K$2</f>
        <v>678900</v>
      </c>
      <c r="L72" s="546" t="n">
        <f aca="false">$I72*$J72*L$2</f>
        <v>613200</v>
      </c>
      <c r="M72" s="546" t="n">
        <f aca="false">$I72*$J72*M$2</f>
        <v>678900</v>
      </c>
      <c r="N72" s="546" t="n">
        <f aca="false">$I72*$J72*N$2</f>
        <v>657000</v>
      </c>
      <c r="O72" s="546" t="n">
        <f aca="false">$I72*$J72*O$2</f>
        <v>678900</v>
      </c>
      <c r="P72" s="546" t="n">
        <f aca="false">$I72*$J72*P$2</f>
        <v>657000</v>
      </c>
      <c r="Q72" s="546" t="n">
        <f aca="false">$I72*$J72*Q$2</f>
        <v>678900</v>
      </c>
      <c r="R72" s="546" t="n">
        <f aca="false">$I72*$J72*R$2</f>
        <v>678900</v>
      </c>
      <c r="S72" s="546" t="n">
        <f aca="false">$I72*$J72*S$2</f>
        <v>657000</v>
      </c>
      <c r="T72" s="546" t="n">
        <f aca="false">$I72*$J72*T$2</f>
        <v>678900</v>
      </c>
      <c r="U72" s="546" t="n">
        <f aca="false">$I72*$J72*U$2</f>
        <v>657000</v>
      </c>
      <c r="V72" s="546" t="n">
        <f aca="false">$I72*$J72*V$2</f>
        <v>678900</v>
      </c>
      <c r="W72" s="545"/>
      <c r="X72" s="545"/>
    </row>
    <row r="73" customFormat="false" ht="12.75" hidden="false" customHeight="true" outlineLevel="0" collapsed="false">
      <c r="K73" s="360" t="n">
        <f aca="false">SUM(K65:K72)</f>
        <v>3654745</v>
      </c>
      <c r="L73" s="360" t="n">
        <f aca="false">SUM(L65:L72)</f>
        <v>3914260</v>
      </c>
      <c r="M73" s="360" t="n">
        <f aca="false">SUM(M65:M72)</f>
        <v>4333645</v>
      </c>
      <c r="N73" s="360" t="n">
        <f aca="false">SUM(N65:N72)</f>
        <v>4193850</v>
      </c>
      <c r="O73" s="360" t="n">
        <f aca="false">SUM(O65:O72)</f>
        <v>4333645</v>
      </c>
      <c r="P73" s="360" t="n">
        <f aca="false">SUM(P65:P72)</f>
        <v>4193850</v>
      </c>
      <c r="Q73" s="360" t="n">
        <f aca="false">SUM(Q65:Q72)</f>
        <v>4333645</v>
      </c>
      <c r="R73" s="360" t="n">
        <f aca="false">SUM(R65:R72)</f>
        <v>4333645</v>
      </c>
      <c r="S73" s="360" t="n">
        <f aca="false">SUM(S65:S72)</f>
        <v>4193850</v>
      </c>
      <c r="T73" s="360" t="n">
        <f aca="false">SUM(T65:T72)</f>
        <v>4333645</v>
      </c>
      <c r="U73" s="360" t="n">
        <f aca="false">SUM(U65:U72)</f>
        <v>4193850</v>
      </c>
      <c r="V73" s="360" t="n">
        <f aca="false">SUM(V65:V72)</f>
        <v>4673095</v>
      </c>
      <c r="W73" s="545"/>
      <c r="X73" s="545"/>
    </row>
    <row r="74" customFormat="false" ht="12.75" hidden="false" customHeight="true" outlineLevel="0" collapsed="false">
      <c r="K74" s="541"/>
      <c r="L74" s="545"/>
      <c r="M74" s="545"/>
      <c r="N74" s="545"/>
      <c r="O74" s="545"/>
      <c r="P74" s="545"/>
      <c r="Q74" s="545"/>
      <c r="R74" s="545"/>
      <c r="S74" s="545"/>
      <c r="T74" s="545"/>
      <c r="U74" s="545"/>
      <c r="V74" s="545"/>
      <c r="W74" s="545"/>
      <c r="X74" s="545"/>
    </row>
    <row r="75" customFormat="false" ht="12.75" hidden="false" customHeight="true" outlineLevel="0" collapsed="false">
      <c r="K75" s="541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45"/>
      <c r="X75" s="545"/>
    </row>
    <row r="76" customFormat="false" ht="12.75" hidden="false" customHeight="true" outlineLevel="0" collapsed="false">
      <c r="K76" s="294" t="n">
        <v>31</v>
      </c>
      <c r="L76" s="294" t="n">
        <v>28</v>
      </c>
      <c r="M76" s="294" t="n">
        <v>31</v>
      </c>
      <c r="N76" s="294" t="n">
        <v>30</v>
      </c>
      <c r="O76" s="294" t="n">
        <v>31</v>
      </c>
      <c r="P76" s="294" t="n">
        <v>30</v>
      </c>
      <c r="Q76" s="294" t="n">
        <v>31</v>
      </c>
      <c r="R76" s="294" t="n">
        <v>31</v>
      </c>
      <c r="S76" s="294" t="n">
        <v>30</v>
      </c>
      <c r="T76" s="294" t="n">
        <v>31</v>
      </c>
      <c r="U76" s="294" t="n">
        <v>30</v>
      </c>
      <c r="V76" s="294" t="n">
        <v>31</v>
      </c>
      <c r="X76" s="545"/>
    </row>
    <row r="77" customFormat="false" ht="12.75" hidden="false" customHeight="true" outlineLevel="0" collapsed="false">
      <c r="J77" s="548"/>
      <c r="K77" s="549" t="s">
        <v>233</v>
      </c>
      <c r="L77" s="549" t="s">
        <v>234</v>
      </c>
      <c r="M77" s="549" t="s">
        <v>235</v>
      </c>
      <c r="N77" s="549" t="s">
        <v>236</v>
      </c>
      <c r="O77" s="549" t="s">
        <v>100</v>
      </c>
      <c r="P77" s="549" t="s">
        <v>237</v>
      </c>
      <c r="Q77" s="549" t="s">
        <v>238</v>
      </c>
      <c r="R77" s="549" t="s">
        <v>239</v>
      </c>
      <c r="S77" s="549" t="s">
        <v>240</v>
      </c>
      <c r="T77" s="549" t="s">
        <v>241</v>
      </c>
      <c r="U77" s="549" t="s">
        <v>242</v>
      </c>
      <c r="V77" s="549" t="s">
        <v>243</v>
      </c>
      <c r="W77" s="549" t="s">
        <v>244</v>
      </c>
      <c r="X77" s="550"/>
    </row>
    <row r="78" customFormat="false" ht="12.75" hidden="false" customHeight="true" outlineLevel="0" collapsed="false">
      <c r="J78" s="294" t="s">
        <v>483</v>
      </c>
      <c r="K78" s="478" t="n">
        <f aca="false">K54/1000/K76</f>
        <v>0</v>
      </c>
      <c r="L78" s="478" t="n">
        <f aca="false">L54/1000/L76</f>
        <v>0</v>
      </c>
      <c r="M78" s="478" t="n">
        <f aca="false">M54/1000/M76</f>
        <v>0</v>
      </c>
      <c r="N78" s="478" t="n">
        <f aca="false">N54/1000/N76</f>
        <v>0</v>
      </c>
      <c r="O78" s="478" t="n">
        <f aca="false">O54/1000/O76</f>
        <v>0</v>
      </c>
      <c r="P78" s="478" t="n">
        <f aca="false">P54/1000/P76</f>
        <v>0</v>
      </c>
      <c r="Q78" s="478" t="n">
        <f aca="false">Q54/1000/Q76</f>
        <v>0</v>
      </c>
      <c r="R78" s="478" t="n">
        <f aca="false">R54/1000/R76</f>
        <v>0</v>
      </c>
      <c r="S78" s="478" t="n">
        <f aca="false">S54/1000/S76</f>
        <v>0</v>
      </c>
      <c r="T78" s="478" t="n">
        <f aca="false">T54/1000/T76</f>
        <v>0</v>
      </c>
      <c r="U78" s="478" t="n">
        <f aca="false">U54/1000/U76</f>
        <v>0</v>
      </c>
      <c r="V78" s="478" t="n">
        <f aca="false">V54/1000/V76</f>
        <v>0</v>
      </c>
      <c r="W78" s="478" t="n">
        <f aca="false">SUM(K78:V78)</f>
        <v>0</v>
      </c>
      <c r="X78" s="550"/>
    </row>
    <row r="79" customFormat="false" ht="12.75" hidden="false" customHeight="true" outlineLevel="0" collapsed="false">
      <c r="J79" s="294" t="s">
        <v>484</v>
      </c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8"/>
      <c r="V79" s="478"/>
      <c r="W79" s="478"/>
      <c r="X79" s="550"/>
    </row>
    <row r="80" customFormat="false" ht="12.75" hidden="false" customHeight="true" outlineLevel="0" collapsed="false">
      <c r="J80" s="294" t="s">
        <v>485</v>
      </c>
      <c r="K80" s="478"/>
      <c r="L80" s="478"/>
      <c r="M80" s="478"/>
      <c r="N80" s="478"/>
      <c r="O80" s="478"/>
      <c r="P80" s="478"/>
      <c r="Q80" s="478"/>
      <c r="R80" s="478"/>
      <c r="S80" s="478"/>
      <c r="T80" s="478"/>
      <c r="U80" s="478"/>
      <c r="V80" s="478"/>
      <c r="W80" s="478"/>
      <c r="X80" s="550"/>
    </row>
    <row r="81" customFormat="false" ht="12.75" hidden="false" customHeight="true" outlineLevel="0" collapsed="false">
      <c r="J81" s="294" t="s">
        <v>486</v>
      </c>
      <c r="K81" s="478" t="n">
        <f aca="false">K50/1000/K76</f>
        <v>0</v>
      </c>
      <c r="L81" s="478" t="n">
        <f aca="false">L50/1000/L76</f>
        <v>18.2</v>
      </c>
      <c r="M81" s="478" t="n">
        <f aca="false">M50/1000/M76</f>
        <v>18.2</v>
      </c>
      <c r="N81" s="478" t="n">
        <f aca="false">N50/1000/N76</f>
        <v>18.2</v>
      </c>
      <c r="O81" s="478" t="n">
        <f aca="false">O50/1000/O76</f>
        <v>25.48</v>
      </c>
      <c r="P81" s="478" t="n">
        <f aca="false">P50/1000/P76</f>
        <v>25.48</v>
      </c>
      <c r="Q81" s="478" t="n">
        <f aca="false">Q50/1000/Q76</f>
        <v>25.48</v>
      </c>
      <c r="R81" s="478" t="n">
        <f aca="false">R50/1000/R76</f>
        <v>25.48</v>
      </c>
      <c r="S81" s="478" t="n">
        <f aca="false">S50/1000/S76</f>
        <v>25.48</v>
      </c>
      <c r="T81" s="478" t="n">
        <f aca="false">T50/1000/T76</f>
        <v>25.48</v>
      </c>
      <c r="U81" s="478" t="n">
        <f aca="false">U50/1000/U76</f>
        <v>89.18</v>
      </c>
      <c r="V81" s="478" t="n">
        <f aca="false">V50/1000/V76</f>
        <v>89.18</v>
      </c>
      <c r="W81" s="478" t="n">
        <f aca="false">SUM(K81:V81)</f>
        <v>385.84</v>
      </c>
      <c r="X81" s="550"/>
    </row>
    <row r="82" customFormat="false" ht="12.75" hidden="false" customHeight="true" outlineLevel="0" collapsed="false">
      <c r="J82" s="294" t="s">
        <v>487</v>
      </c>
      <c r="K82" s="478" t="n">
        <f aca="false">K73/1000/K76</f>
        <v>117.895</v>
      </c>
      <c r="L82" s="478" t="n">
        <f aca="false">L73/1000/L76</f>
        <v>139.795</v>
      </c>
      <c r="M82" s="478" t="n">
        <f aca="false">M73/1000/M76</f>
        <v>139.795</v>
      </c>
      <c r="N82" s="478" t="n">
        <f aca="false">N73/1000/N76</f>
        <v>139.795</v>
      </c>
      <c r="O82" s="478" t="n">
        <f aca="false">O73/1000/O76</f>
        <v>139.795</v>
      </c>
      <c r="P82" s="478" t="n">
        <f aca="false">P73/1000/P76</f>
        <v>139.795</v>
      </c>
      <c r="Q82" s="478" t="n">
        <f aca="false">Q73/1000/Q76</f>
        <v>139.795</v>
      </c>
      <c r="R82" s="478" t="n">
        <f aca="false">R73/1000/R76</f>
        <v>139.795</v>
      </c>
      <c r="S82" s="478" t="n">
        <f aca="false">S73/1000/S76</f>
        <v>139.795</v>
      </c>
      <c r="T82" s="478" t="n">
        <f aca="false">T73/1000/T76</f>
        <v>139.795</v>
      </c>
      <c r="U82" s="478" t="n">
        <f aca="false">U73/1000/U76</f>
        <v>139.795</v>
      </c>
      <c r="V82" s="478" t="n">
        <f aca="false">V73/1000/V76</f>
        <v>150.745</v>
      </c>
      <c r="W82" s="478" t="n">
        <f aca="false">SUM(K82:V82)</f>
        <v>1666.59</v>
      </c>
      <c r="X82" s="541"/>
    </row>
    <row r="83" customFormat="false" ht="12.75" hidden="false" customHeight="true" outlineLevel="0" collapsed="false">
      <c r="J83" s="294" t="s">
        <v>488</v>
      </c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 t="n">
        <f aca="false">SUM(K83:V83)</f>
        <v>0</v>
      </c>
      <c r="X83" s="551"/>
    </row>
    <row r="84" customFormat="false" ht="12.75" hidden="false" customHeight="true" outlineLevel="0" collapsed="false">
      <c r="J84" s="294" t="s">
        <v>489</v>
      </c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478" t="n">
        <f aca="false">SUM(K84:V84)</f>
        <v>0</v>
      </c>
      <c r="X84" s="551"/>
    </row>
    <row r="85" customFormat="false" ht="12.75" hidden="false" customHeight="true" outlineLevel="0" collapsed="false">
      <c r="J85" s="294" t="s">
        <v>490</v>
      </c>
      <c r="K85" s="552" t="n">
        <f aca="false">SUM(K78:K84)</f>
        <v>117.895</v>
      </c>
      <c r="L85" s="552" t="n">
        <f aca="false">SUM(L78:L84)</f>
        <v>157.995</v>
      </c>
      <c r="M85" s="552" t="n">
        <f aca="false">SUM(M78:M84)</f>
        <v>157.995</v>
      </c>
      <c r="N85" s="552" t="n">
        <f aca="false">SUM(N78:N84)</f>
        <v>157.995</v>
      </c>
      <c r="O85" s="552" t="n">
        <f aca="false">SUM(O78:O84)</f>
        <v>165.275</v>
      </c>
      <c r="P85" s="552" t="n">
        <f aca="false">SUM(P78:P84)</f>
        <v>165.275</v>
      </c>
      <c r="Q85" s="552" t="n">
        <f aca="false">SUM(Q78:Q84)</f>
        <v>165.275</v>
      </c>
      <c r="R85" s="552" t="n">
        <f aca="false">SUM(R78:R84)</f>
        <v>165.275</v>
      </c>
      <c r="S85" s="552" t="n">
        <f aca="false">SUM(S78:S84)</f>
        <v>165.275</v>
      </c>
      <c r="T85" s="552" t="n">
        <f aca="false">SUM(T78:T84)</f>
        <v>165.275</v>
      </c>
      <c r="U85" s="552" t="n">
        <f aca="false">SUM(U78:U84)</f>
        <v>228.975</v>
      </c>
      <c r="V85" s="552" t="n">
        <f aca="false">SUM(V78:V84)</f>
        <v>239.925</v>
      </c>
      <c r="W85" s="552" t="n">
        <f aca="false">SUM(W78:W84)</f>
        <v>2052.43</v>
      </c>
      <c r="X85" s="551"/>
    </row>
    <row r="86" customFormat="false" ht="12.75" hidden="false" customHeight="true" outlineLevel="0" collapsed="false">
      <c r="K86" s="478"/>
      <c r="L86" s="478"/>
      <c r="M86" s="478"/>
      <c r="N86" s="478"/>
      <c r="O86" s="478"/>
      <c r="P86" s="478"/>
      <c r="Q86" s="478"/>
      <c r="R86" s="478"/>
      <c r="S86" s="478"/>
      <c r="T86" s="478"/>
      <c r="U86" s="478"/>
      <c r="V86" s="478"/>
      <c r="W86" s="478"/>
      <c r="X86" s="551"/>
    </row>
    <row r="87" customFormat="false" ht="12.75" hidden="false" customHeight="true" outlineLevel="0" collapsed="false">
      <c r="J87" s="294" t="s">
        <v>491</v>
      </c>
      <c r="K87" s="478" t="n">
        <f aca="false">K63/1000/K76</f>
        <v>0</v>
      </c>
      <c r="L87" s="478" t="n">
        <f aca="false">L63/1000/L76</f>
        <v>0</v>
      </c>
      <c r="M87" s="478" t="n">
        <f aca="false">M63/1000/M76</f>
        <v>7.8</v>
      </c>
      <c r="N87" s="478" t="n">
        <f aca="false">N63/1000/N76</f>
        <v>7.8</v>
      </c>
      <c r="O87" s="478" t="n">
        <f aca="false">O63/1000/O76</f>
        <v>7.8</v>
      </c>
      <c r="P87" s="478" t="n">
        <f aca="false">P63/1000/P76</f>
        <v>7.8</v>
      </c>
      <c r="Q87" s="478" t="n">
        <f aca="false">Q63/1000/Q76</f>
        <v>7.8</v>
      </c>
      <c r="R87" s="478" t="n">
        <f aca="false">R63/1000/R76</f>
        <v>7.8</v>
      </c>
      <c r="S87" s="478" t="n">
        <f aca="false">S63/1000/S76</f>
        <v>7.8</v>
      </c>
      <c r="T87" s="478" t="n">
        <f aca="false">T63/1000/T76</f>
        <v>7.8</v>
      </c>
      <c r="U87" s="478" t="n">
        <f aca="false">U63/1000/U76</f>
        <v>139</v>
      </c>
      <c r="V87" s="478" t="n">
        <f aca="false">V63/1000/V76</f>
        <v>139</v>
      </c>
      <c r="W87" s="478" t="n">
        <f aca="false">SUM(K87:V87)</f>
        <v>340.4</v>
      </c>
      <c r="X87" s="551"/>
    </row>
    <row r="88" customFormat="false" ht="12.75" hidden="false" customHeight="true" outlineLevel="0" collapsed="false">
      <c r="K88" s="478"/>
      <c r="L88" s="478"/>
      <c r="M88" s="478"/>
      <c r="N88" s="478"/>
      <c r="O88" s="478"/>
      <c r="P88" s="478"/>
      <c r="Q88" s="478"/>
      <c r="R88" s="478"/>
      <c r="S88" s="478"/>
      <c r="T88" s="478"/>
      <c r="U88" s="478"/>
      <c r="V88" s="478"/>
      <c r="W88" s="478"/>
      <c r="X88" s="551"/>
    </row>
    <row r="89" customFormat="false" ht="12.75" hidden="false" customHeight="true" outlineLevel="0" collapsed="false">
      <c r="J89" s="294" t="s">
        <v>483</v>
      </c>
      <c r="K89" s="553" t="n">
        <v>0.045</v>
      </c>
      <c r="L89" s="553" t="n">
        <v>0.045</v>
      </c>
      <c r="M89" s="553" t="n">
        <v>0.045</v>
      </c>
      <c r="N89" s="553" t="n">
        <v>0.045</v>
      </c>
      <c r="O89" s="553" t="n">
        <v>0.045</v>
      </c>
      <c r="P89" s="553" t="n">
        <v>0.045</v>
      </c>
      <c r="Q89" s="553" t="n">
        <v>0.045</v>
      </c>
      <c r="R89" s="553" t="n">
        <v>0.045</v>
      </c>
      <c r="S89" s="553" t="n">
        <v>0.045</v>
      </c>
      <c r="T89" s="553" t="n">
        <v>0.045</v>
      </c>
      <c r="U89" s="553" t="n">
        <v>0.045</v>
      </c>
      <c r="V89" s="553" t="n">
        <v>0.045</v>
      </c>
      <c r="W89" s="478"/>
      <c r="X89" s="541"/>
    </row>
    <row r="90" customFormat="false" ht="12.75" hidden="false" customHeight="true" outlineLevel="0" collapsed="false">
      <c r="J90" s="294" t="s">
        <v>484</v>
      </c>
      <c r="K90" s="553" t="n">
        <v>0.045</v>
      </c>
      <c r="L90" s="553" t="n">
        <v>0.045</v>
      </c>
      <c r="M90" s="553" t="n">
        <v>0.045</v>
      </c>
      <c r="N90" s="553" t="n">
        <v>0.0475</v>
      </c>
      <c r="O90" s="553" t="n">
        <v>0.0475</v>
      </c>
      <c r="P90" s="553" t="n">
        <v>0.0475</v>
      </c>
      <c r="Q90" s="553" t="n">
        <v>0.0475</v>
      </c>
      <c r="R90" s="553" t="n">
        <v>0.0475</v>
      </c>
      <c r="S90" s="553" t="n">
        <v>0.0475</v>
      </c>
      <c r="T90" s="553" t="n">
        <v>0.0475</v>
      </c>
      <c r="U90" s="553" t="n">
        <v>0.0475</v>
      </c>
      <c r="V90" s="553" t="n">
        <v>0.0475</v>
      </c>
      <c r="W90" s="478"/>
      <c r="X90" s="554"/>
    </row>
    <row r="91" customFormat="false" ht="12.75" hidden="false" customHeight="true" outlineLevel="0" collapsed="false">
      <c r="J91" s="294" t="s">
        <v>485</v>
      </c>
      <c r="K91" s="553" t="n">
        <f aca="false">0.045+0.0025</f>
        <v>0.0475</v>
      </c>
      <c r="L91" s="553" t="n">
        <f aca="false">0.045+0.0025</f>
        <v>0.0475</v>
      </c>
      <c r="M91" s="553" t="n">
        <f aca="false">0.045+0.0025</f>
        <v>0.0475</v>
      </c>
      <c r="N91" s="553" t="n">
        <f aca="false">0.045+0.0025</f>
        <v>0.0475</v>
      </c>
      <c r="O91" s="553" t="n">
        <f aca="false">0.045+0.0025</f>
        <v>0.0475</v>
      </c>
      <c r="P91" s="553" t="n">
        <f aca="false">0.045+0.0025</f>
        <v>0.0475</v>
      </c>
      <c r="Q91" s="553" t="n">
        <f aca="false">0.045+0.0025</f>
        <v>0.0475</v>
      </c>
      <c r="R91" s="553" t="n">
        <f aca="false">0.045+0.0025</f>
        <v>0.0475</v>
      </c>
      <c r="S91" s="553" t="n">
        <f aca="false">0.045+0.0025</f>
        <v>0.0475</v>
      </c>
      <c r="T91" s="553" t="n">
        <f aca="false">0.045+0.0025</f>
        <v>0.0475</v>
      </c>
      <c r="U91" s="553" t="n">
        <f aca="false">0.045+0.0025</f>
        <v>0.0475</v>
      </c>
      <c r="V91" s="553" t="n">
        <f aca="false">0.045+0.0025</f>
        <v>0.0475</v>
      </c>
      <c r="W91" s="478"/>
      <c r="X91" s="555"/>
    </row>
    <row r="92" customFormat="false" ht="12.75" hidden="false" customHeight="true" outlineLevel="0" collapsed="false">
      <c r="J92" s="294" t="s">
        <v>486</v>
      </c>
      <c r="K92" s="553" t="n">
        <v>0.05</v>
      </c>
      <c r="L92" s="553" t="n">
        <v>0.05</v>
      </c>
      <c r="M92" s="553" t="n">
        <v>0.05</v>
      </c>
      <c r="N92" s="553" t="n">
        <v>0.05</v>
      </c>
      <c r="O92" s="553" t="n">
        <v>0.05</v>
      </c>
      <c r="P92" s="553" t="n">
        <v>0.05</v>
      </c>
      <c r="Q92" s="553" t="n">
        <v>0.05</v>
      </c>
      <c r="R92" s="553" t="n">
        <v>0.05</v>
      </c>
      <c r="S92" s="553" t="n">
        <v>0.05</v>
      </c>
      <c r="T92" s="553" t="n">
        <v>0.05</v>
      </c>
      <c r="U92" s="553" t="n">
        <v>0.05</v>
      </c>
      <c r="V92" s="553" t="n">
        <v>0.05</v>
      </c>
      <c r="W92" s="478"/>
      <c r="X92" s="555"/>
    </row>
    <row r="93" customFormat="false" ht="12.75" hidden="false" customHeight="true" outlineLevel="0" collapsed="false">
      <c r="J93" s="294" t="s">
        <v>487</v>
      </c>
      <c r="K93" s="553" t="n">
        <v>0.0025</v>
      </c>
      <c r="L93" s="553" t="n">
        <v>0.0025</v>
      </c>
      <c r="M93" s="553" t="n">
        <v>0.0025</v>
      </c>
      <c r="N93" s="553" t="n">
        <v>0.0025</v>
      </c>
      <c r="O93" s="553" t="n">
        <v>0.0025</v>
      </c>
      <c r="P93" s="553" t="n">
        <v>0.0025</v>
      </c>
      <c r="Q93" s="553" t="n">
        <v>0.0025</v>
      </c>
      <c r="R93" s="553" t="n">
        <v>0.0025</v>
      </c>
      <c r="S93" s="553" t="n">
        <v>0.0025</v>
      </c>
      <c r="T93" s="553" t="n">
        <v>0.0025</v>
      </c>
      <c r="U93" s="553" t="n">
        <v>0.0025</v>
      </c>
      <c r="V93" s="553" t="n">
        <v>0.0025</v>
      </c>
      <c r="W93" s="478"/>
      <c r="X93" s="333"/>
    </row>
    <row r="94" customFormat="false" ht="12.75" hidden="false" customHeight="true" outlineLevel="0" collapsed="false">
      <c r="J94" s="294" t="s">
        <v>488</v>
      </c>
      <c r="K94" s="553" t="n">
        <v>0.0025</v>
      </c>
      <c r="L94" s="553" t="n">
        <v>0.0025</v>
      </c>
      <c r="M94" s="553" t="n">
        <v>0.0025</v>
      </c>
      <c r="N94" s="553" t="n">
        <v>0.0025</v>
      </c>
      <c r="O94" s="553" t="n">
        <v>0.0025</v>
      </c>
      <c r="P94" s="553" t="n">
        <v>0.0025</v>
      </c>
      <c r="Q94" s="553" t="n">
        <v>0.0025</v>
      </c>
      <c r="R94" s="553" t="n">
        <v>0.0025</v>
      </c>
      <c r="S94" s="553" t="n">
        <v>0.0025</v>
      </c>
      <c r="T94" s="553" t="n">
        <v>0.0025</v>
      </c>
      <c r="U94" s="553" t="n">
        <v>0.0025</v>
      </c>
      <c r="V94" s="553" t="n">
        <v>0.0025</v>
      </c>
      <c r="W94" s="478"/>
      <c r="X94" s="333"/>
    </row>
    <row r="95" customFormat="false" ht="12.75" hidden="false" customHeight="true" outlineLevel="0" collapsed="false">
      <c r="J95" s="294" t="s">
        <v>489</v>
      </c>
      <c r="K95" s="553" t="n">
        <v>0.0025</v>
      </c>
      <c r="L95" s="553" t="n">
        <v>0.0025</v>
      </c>
      <c r="M95" s="553" t="n">
        <v>0.0025</v>
      </c>
      <c r="N95" s="553" t="n">
        <v>0.0025</v>
      </c>
      <c r="O95" s="553" t="n">
        <v>0.0025</v>
      </c>
      <c r="P95" s="553" t="n">
        <v>0.0025</v>
      </c>
      <c r="Q95" s="553" t="n">
        <v>0.0025</v>
      </c>
      <c r="R95" s="553" t="n">
        <v>0.0025</v>
      </c>
      <c r="S95" s="553" t="n">
        <v>0.0025</v>
      </c>
      <c r="T95" s="553" t="n">
        <v>0.0025</v>
      </c>
      <c r="U95" s="553" t="n">
        <v>0.0025</v>
      </c>
      <c r="V95" s="553" t="n">
        <v>0.0025</v>
      </c>
      <c r="W95" s="478"/>
      <c r="X95" s="333"/>
    </row>
    <row r="96" customFormat="false" ht="12.75" hidden="false" customHeight="true" outlineLevel="0" collapsed="false">
      <c r="J96" s="294" t="s">
        <v>231</v>
      </c>
      <c r="K96" s="553" t="n">
        <v>0.0131</v>
      </c>
      <c r="L96" s="553" t="n">
        <v>0.0131</v>
      </c>
      <c r="M96" s="553" t="n">
        <v>0.0131</v>
      </c>
      <c r="N96" s="553" t="n">
        <v>0.0131</v>
      </c>
      <c r="O96" s="553" t="n">
        <v>0.0131</v>
      </c>
      <c r="P96" s="553" t="n">
        <v>0.0131</v>
      </c>
      <c r="Q96" s="553" t="n">
        <v>0.0131</v>
      </c>
      <c r="R96" s="553" t="n">
        <v>0.0131</v>
      </c>
      <c r="S96" s="553" t="n">
        <v>0.0131</v>
      </c>
      <c r="T96" s="553" t="n">
        <v>0.0131</v>
      </c>
      <c r="U96" s="553" t="n">
        <v>0.0131</v>
      </c>
      <c r="V96" s="553" t="n">
        <v>0.0131</v>
      </c>
      <c r="W96" s="478"/>
      <c r="X96" s="333"/>
    </row>
    <row r="97" customFormat="false" ht="12.75" hidden="false" customHeight="true" outlineLevel="0" collapsed="false"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333"/>
    </row>
    <row r="98" customFormat="false" ht="12.75" hidden="false" customHeight="true" outlineLevel="0" collapsed="false">
      <c r="J98" s="294" t="s">
        <v>483</v>
      </c>
      <c r="K98" s="478" t="n">
        <f aca="false">ROUND((((K78/(1-K89))-K78)*K$2),0)</f>
        <v>0</v>
      </c>
      <c r="L98" s="478" t="n">
        <f aca="false">ROUND((((L78/(1-L89))-L78)*L$2),0)</f>
        <v>0</v>
      </c>
      <c r="M98" s="478" t="n">
        <f aca="false">ROUND((((M78/(1-M89))-M78)*M$2),0)</f>
        <v>0</v>
      </c>
      <c r="N98" s="478" t="n">
        <f aca="false">ROUND((((N78/(1-N89))-N78)*N$2),0)</f>
        <v>0</v>
      </c>
      <c r="O98" s="478" t="n">
        <f aca="false">ROUND((((O78/(1-O89))-O78)*O$2),0)</f>
        <v>0</v>
      </c>
      <c r="P98" s="478" t="n">
        <f aca="false">ROUND((((P78/(1-P89))-P78)*P$2),0)</f>
        <v>0</v>
      </c>
      <c r="Q98" s="478" t="n">
        <f aca="false">ROUND((((Q78/(1-Q89))-Q78)*Q$2),0)</f>
        <v>0</v>
      </c>
      <c r="R98" s="478" t="n">
        <f aca="false">ROUND((((R78/(1-R89))-R78)*R$2),0)</f>
        <v>0</v>
      </c>
      <c r="S98" s="478" t="n">
        <f aca="false">ROUND((((S78/(1-S89))-S78)*S$2),0)</f>
        <v>0</v>
      </c>
      <c r="T98" s="478" t="n">
        <f aca="false">ROUND((((T78/(1-T89))-T78)*T$2),0)</f>
        <v>0</v>
      </c>
      <c r="U98" s="478" t="n">
        <f aca="false">ROUND((((U78/(1-U89))-U78)*U$2),0)</f>
        <v>0</v>
      </c>
      <c r="V98" s="478" t="n">
        <f aca="false">ROUND((((V78/(1-V89))-V78)*V$2),0)</f>
        <v>0</v>
      </c>
      <c r="W98" s="478" t="n">
        <f aca="false">SUM(K98:V98)</f>
        <v>0</v>
      </c>
    </row>
    <row r="99" customFormat="false" ht="12.75" hidden="false" customHeight="true" outlineLevel="0" collapsed="false">
      <c r="J99" s="294" t="s">
        <v>484</v>
      </c>
      <c r="K99" s="478" t="n">
        <f aca="false">ROUND((((K79/(1-K90))-K79)*K$2),0)</f>
        <v>0</v>
      </c>
      <c r="L99" s="478" t="n">
        <f aca="false">ROUND((((L79/(1-L90))-L79)*L$2),0)</f>
        <v>0</v>
      </c>
      <c r="M99" s="478" t="n">
        <f aca="false">ROUND((((M79/(1-M90))-M79)*M$2),0)</f>
        <v>0</v>
      </c>
      <c r="N99" s="478" t="n">
        <f aca="false">ROUND((((N79/(1-N90))-N79)*N$2),0)</f>
        <v>0</v>
      </c>
      <c r="O99" s="478" t="n">
        <f aca="false">ROUND((((O79/(1-O90))-O79)*O$2),0)</f>
        <v>0</v>
      </c>
      <c r="P99" s="478" t="n">
        <f aca="false">ROUND((((P79/(1-P90))-P79)*P$2),0)</f>
        <v>0</v>
      </c>
      <c r="Q99" s="478" t="n">
        <f aca="false">ROUND((((Q79/(1-Q90))-Q79)*Q$2),0)</f>
        <v>0</v>
      </c>
      <c r="R99" s="478" t="n">
        <f aca="false">ROUND((((R79/(1-R90))-R79)*R$2),0)</f>
        <v>0</v>
      </c>
      <c r="S99" s="478" t="n">
        <f aca="false">ROUND((((S79/(1-S90))-S79)*S$2),0)</f>
        <v>0</v>
      </c>
      <c r="T99" s="478" t="n">
        <f aca="false">ROUND((((T79/(1-T90))-T79)*T$2),0)</f>
        <v>0</v>
      </c>
      <c r="U99" s="478" t="n">
        <f aca="false">ROUND((((U79/(1-U90))-U79)*U$2),0)</f>
        <v>0</v>
      </c>
      <c r="V99" s="478" t="n">
        <f aca="false">ROUND((((V79/(1-V90))-V79)*V$2),0)</f>
        <v>0</v>
      </c>
      <c r="W99" s="478" t="n">
        <f aca="false">SUM(K99:V99)</f>
        <v>0</v>
      </c>
    </row>
    <row r="100" customFormat="false" ht="12.75" hidden="false" customHeight="true" outlineLevel="0" collapsed="false">
      <c r="J100" s="294" t="s">
        <v>485</v>
      </c>
      <c r="K100" s="478" t="n">
        <f aca="false">ROUND((((K80/(1-K91))-K80)*K$2),0)</f>
        <v>0</v>
      </c>
      <c r="L100" s="478" t="n">
        <f aca="false">ROUND((((L80/(1-L91))-L80)*L$2),0)</f>
        <v>0</v>
      </c>
      <c r="M100" s="478" t="n">
        <f aca="false">ROUND((((M80/(1-M91))-M80)*M$2),0)</f>
        <v>0</v>
      </c>
      <c r="N100" s="478" t="n">
        <f aca="false">ROUND((((N80/(1-N91))-N80)*N$2),0)</f>
        <v>0</v>
      </c>
      <c r="O100" s="478" t="n">
        <f aca="false">ROUND((((O80/(1-O91))-O80)*O$2),0)</f>
        <v>0</v>
      </c>
      <c r="P100" s="478" t="n">
        <f aca="false">ROUND((((P80/(1-P91))-P80)*P$2),0)</f>
        <v>0</v>
      </c>
      <c r="Q100" s="478" t="n">
        <f aca="false">ROUND((((Q80/(1-Q91))-Q80)*Q$2),0)</f>
        <v>0</v>
      </c>
      <c r="R100" s="478" t="n">
        <f aca="false">ROUND((((R80/(1-R91))-R80)*R$2),0)</f>
        <v>0</v>
      </c>
      <c r="S100" s="478" t="n">
        <f aca="false">ROUND((((S80/(1-S91))-S80)*S$2),0)</f>
        <v>0</v>
      </c>
      <c r="T100" s="478" t="n">
        <f aca="false">ROUND((((T80/(1-T91))-T80)*T$2),0)</f>
        <v>0</v>
      </c>
      <c r="U100" s="478" t="n">
        <f aca="false">ROUND((((U80/(1-U91))-U80)*U$2),0)</f>
        <v>0</v>
      </c>
      <c r="V100" s="478" t="n">
        <f aca="false">ROUND((((V80/(1-V91))-V80)*V$2),0)</f>
        <v>0</v>
      </c>
      <c r="W100" s="478" t="n">
        <f aca="false">SUM(K100:V100)</f>
        <v>0</v>
      </c>
    </row>
    <row r="101" customFormat="false" ht="12.75" hidden="false" customHeight="true" outlineLevel="0" collapsed="false">
      <c r="J101" s="294" t="s">
        <v>486</v>
      </c>
      <c r="K101" s="478" t="n">
        <f aca="false">ROUND((((K81/(1-K92))-K81)*K$2),0)</f>
        <v>0</v>
      </c>
      <c r="L101" s="478" t="n">
        <f aca="false">ROUND((((L81/(1-L92))-L81)*L$2),0)</f>
        <v>27</v>
      </c>
      <c r="M101" s="478" t="n">
        <f aca="false">ROUND((((M81/(1-M92))-M81)*M$2),0)</f>
        <v>30</v>
      </c>
      <c r="N101" s="478" t="n">
        <f aca="false">ROUND((((N81/(1-N92))-N81)*N$2),0)</f>
        <v>29</v>
      </c>
      <c r="O101" s="478" t="n">
        <f aca="false">ROUND((((O81/(1-O92))-O81)*O$2),0)</f>
        <v>42</v>
      </c>
      <c r="P101" s="478" t="n">
        <f aca="false">ROUND((((P81/(1-P92))-P81)*P$2),0)</f>
        <v>40</v>
      </c>
      <c r="Q101" s="478" t="n">
        <f aca="false">ROUND((((Q81/(1-Q92))-Q81)*Q$2),0)</f>
        <v>42</v>
      </c>
      <c r="R101" s="478" t="n">
        <f aca="false">ROUND((((R81/(1-R92))-R81)*R$2),0)</f>
        <v>42</v>
      </c>
      <c r="S101" s="478" t="n">
        <f aca="false">ROUND((((S81/(1-S92))-S81)*S$2),0)</f>
        <v>40</v>
      </c>
      <c r="T101" s="478" t="n">
        <f aca="false">ROUND((((T81/(1-T92))-T81)*T$2),0)</f>
        <v>42</v>
      </c>
      <c r="U101" s="478" t="n">
        <f aca="false">ROUND((((U81/(1-U92))-U81)*U$2),0)</f>
        <v>141</v>
      </c>
      <c r="V101" s="478" t="n">
        <f aca="false">ROUND((((V81/(1-V92))-V81)*V$2),0)</f>
        <v>146</v>
      </c>
      <c r="W101" s="478" t="n">
        <f aca="false">SUM(K101:V101)</f>
        <v>621</v>
      </c>
    </row>
    <row r="102" customFormat="false" ht="12.75" hidden="false" customHeight="true" outlineLevel="0" collapsed="false">
      <c r="J102" s="294" t="s">
        <v>487</v>
      </c>
      <c r="K102" s="478" t="n">
        <f aca="false">ROUND((((K82/(1-K93))-K82)*K$2),0)</f>
        <v>9</v>
      </c>
      <c r="L102" s="478" t="n">
        <f aca="false">ROUND((((L82/(1-L93))-L82)*L$2),0)</f>
        <v>10</v>
      </c>
      <c r="M102" s="478" t="n">
        <f aca="false">ROUND((((M82/(1-M93))-M82)*M$2),0)</f>
        <v>11</v>
      </c>
      <c r="N102" s="478" t="n">
        <f aca="false">ROUND((((N82/(1-N93))-N82)*N$2),0)</f>
        <v>11</v>
      </c>
      <c r="O102" s="478" t="n">
        <f aca="false">ROUND((((O82/(1-O93))-O82)*O$2),0)</f>
        <v>11</v>
      </c>
      <c r="P102" s="478" t="n">
        <f aca="false">ROUND((((P82/(1-P93))-P82)*P$2),0)</f>
        <v>11</v>
      </c>
      <c r="Q102" s="478" t="n">
        <f aca="false">ROUND((((Q82/(1-Q93))-Q82)*Q$2),0)</f>
        <v>11</v>
      </c>
      <c r="R102" s="478" t="n">
        <f aca="false">ROUND((((R82/(1-R93))-R82)*R$2),0)</f>
        <v>11</v>
      </c>
      <c r="S102" s="478" t="n">
        <f aca="false">ROUND((((S82/(1-S93))-S82)*S$2),0)</f>
        <v>11</v>
      </c>
      <c r="T102" s="478" t="n">
        <f aca="false">ROUND((((T82/(1-T93))-T82)*T$2),0)</f>
        <v>11</v>
      </c>
      <c r="U102" s="478" t="n">
        <f aca="false">ROUND((((U82/(1-U93))-U82)*U$2),0)</f>
        <v>11</v>
      </c>
      <c r="V102" s="478" t="n">
        <f aca="false">ROUND((((V82/(1-V93))-V82)*V$2),0)</f>
        <v>12</v>
      </c>
      <c r="W102" s="478" t="n">
        <f aca="false">SUM(K102:V102)</f>
        <v>130</v>
      </c>
    </row>
    <row r="103" customFormat="false" ht="12.75" hidden="false" customHeight="true" outlineLevel="0" collapsed="false">
      <c r="J103" s="294" t="s">
        <v>488</v>
      </c>
      <c r="K103" s="478" t="n">
        <f aca="false">ROUND((((K83/(1-K94))-K83)*K$2),0)</f>
        <v>0</v>
      </c>
      <c r="L103" s="478" t="n">
        <f aca="false">ROUND((((L83/(1-L94))-L83)*L$2),0)</f>
        <v>0</v>
      </c>
      <c r="M103" s="478" t="n">
        <f aca="false">ROUND((((M83/(1-M94))-M83)*M$2),0)</f>
        <v>0</v>
      </c>
      <c r="N103" s="478" t="n">
        <f aca="false">ROUND((((N83/(1-N94))-N83)*N$2),0)</f>
        <v>0</v>
      </c>
      <c r="O103" s="478" t="n">
        <f aca="false">ROUND((((O83/(1-O94))-O83)*O$2),0)</f>
        <v>0</v>
      </c>
      <c r="P103" s="478" t="n">
        <f aca="false">ROUND((((P83/(1-P94))-P83)*P$2),0)</f>
        <v>0</v>
      </c>
      <c r="Q103" s="478" t="n">
        <f aca="false">ROUND((((Q83/(1-Q94))-Q83)*Q$2),0)</f>
        <v>0</v>
      </c>
      <c r="R103" s="478" t="n">
        <f aca="false">ROUND((((R83/(1-R94))-R83)*R$2),0)</f>
        <v>0</v>
      </c>
      <c r="S103" s="478" t="n">
        <f aca="false">ROUND((((S83/(1-S94))-S83)*S$2),0)</f>
        <v>0</v>
      </c>
      <c r="T103" s="478" t="n">
        <f aca="false">ROUND((((T83/(1-T94))-T83)*T$2),0)</f>
        <v>0</v>
      </c>
      <c r="U103" s="478" t="n">
        <f aca="false">ROUND((((U83/(1-U94))-U83)*U$2),0)</f>
        <v>0</v>
      </c>
      <c r="V103" s="478" t="n">
        <f aca="false">ROUND((((V83/(1-V94))-V83)*V$2),0)</f>
        <v>0</v>
      </c>
      <c r="W103" s="478" t="n">
        <f aca="false">SUM(K103:V103)</f>
        <v>0</v>
      </c>
    </row>
    <row r="104" customFormat="false" ht="12.75" hidden="false" customHeight="true" outlineLevel="0" collapsed="false">
      <c r="J104" s="294" t="s">
        <v>489</v>
      </c>
      <c r="K104" s="478" t="n">
        <f aca="false">ROUND((((K84/(1-K95))-K84)*K$2),0)</f>
        <v>0</v>
      </c>
      <c r="L104" s="478" t="n">
        <f aca="false">ROUND((((L84/(1-L95))-L84)*L$2),0)</f>
        <v>0</v>
      </c>
      <c r="M104" s="478" t="n">
        <f aca="false">ROUND((((M84/(1-M95))-M84)*M$2),0)</f>
        <v>0</v>
      </c>
      <c r="N104" s="478" t="n">
        <f aca="false">ROUND((((N84/(1-N95))-N84)*N$2),0)</f>
        <v>0</v>
      </c>
      <c r="O104" s="478" t="n">
        <f aca="false">ROUND((((O84/(1-O95))-O84)*O$2),0)</f>
        <v>0</v>
      </c>
      <c r="P104" s="478" t="n">
        <f aca="false">ROUND((((P84/(1-P95))-P84)*P$2),0)</f>
        <v>0</v>
      </c>
      <c r="Q104" s="478" t="n">
        <f aca="false">ROUND((((Q84/(1-Q95))-Q84)*Q$2),0)</f>
        <v>0</v>
      </c>
      <c r="R104" s="478" t="n">
        <f aca="false">ROUND((((R84/(1-R95))-R84)*R$2),0)</f>
        <v>0</v>
      </c>
      <c r="S104" s="478" t="n">
        <f aca="false">ROUND((((S84/(1-S95))-S84)*S$2),0)</f>
        <v>0</v>
      </c>
      <c r="T104" s="478" t="n">
        <f aca="false">ROUND((((T84/(1-T95))-T84)*T$2),0)</f>
        <v>0</v>
      </c>
      <c r="U104" s="478" t="n">
        <f aca="false">ROUND((((U84/(1-U95))-U84)*U$2),0)</f>
        <v>0</v>
      </c>
      <c r="V104" s="478" t="n">
        <f aca="false">ROUND((((V84/(1-V95))-V84)*V$2),0)</f>
        <v>0</v>
      </c>
      <c r="W104" s="478" t="n">
        <f aca="false">SUM(K104:V104)</f>
        <v>0</v>
      </c>
    </row>
    <row r="105" customFormat="false" ht="12.75" hidden="false" customHeight="true" outlineLevel="0" collapsed="false">
      <c r="J105" s="294" t="s">
        <v>490</v>
      </c>
      <c r="K105" s="552" t="n">
        <f aca="false">SUM(K98:K104)</f>
        <v>9</v>
      </c>
      <c r="L105" s="552" t="n">
        <f aca="false">SUM(L98:L104)</f>
        <v>37</v>
      </c>
      <c r="M105" s="552" t="n">
        <f aca="false">SUM(M98:M104)</f>
        <v>41</v>
      </c>
      <c r="N105" s="552" t="n">
        <f aca="false">SUM(N98:N104)</f>
        <v>40</v>
      </c>
      <c r="O105" s="552" t="n">
        <f aca="false">SUM(O98:O104)</f>
        <v>53</v>
      </c>
      <c r="P105" s="552" t="n">
        <f aca="false">SUM(P98:P104)</f>
        <v>51</v>
      </c>
      <c r="Q105" s="552" t="n">
        <f aca="false">SUM(Q98:Q104)</f>
        <v>53</v>
      </c>
      <c r="R105" s="552" t="n">
        <f aca="false">SUM(R98:R104)</f>
        <v>53</v>
      </c>
      <c r="S105" s="552" t="n">
        <f aca="false">SUM(S98:S104)</f>
        <v>51</v>
      </c>
      <c r="T105" s="552" t="n">
        <f aca="false">SUM(T98:T104)</f>
        <v>53</v>
      </c>
      <c r="U105" s="552" t="n">
        <f aca="false">SUM(U98:U104)</f>
        <v>152</v>
      </c>
      <c r="V105" s="552" t="n">
        <f aca="false">SUM(V98:V104)</f>
        <v>158</v>
      </c>
      <c r="W105" s="552" t="n">
        <f aca="false">SUM(W98:W104)</f>
        <v>751</v>
      </c>
    </row>
    <row r="106" customFormat="false" ht="12.75" hidden="false" customHeight="true" outlineLevel="0" collapsed="false"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</row>
    <row r="107" customFormat="false" ht="12.75" hidden="false" customHeight="true" outlineLevel="0" collapsed="false">
      <c r="J107" s="294" t="s">
        <v>492</v>
      </c>
      <c r="K107" s="309" t="n">
        <f aca="false">ROUND((((K87/(1-K96))-K87)*K$2),0)</f>
        <v>0</v>
      </c>
      <c r="L107" s="309" t="n">
        <f aca="false">ROUND((((L87/(1-L96))-L87)*L$2),0)</f>
        <v>0</v>
      </c>
      <c r="M107" s="309" t="n">
        <f aca="false">ROUND((((M87/(1-M96))-M87)*M$2),0)</f>
        <v>3</v>
      </c>
      <c r="N107" s="309" t="n">
        <f aca="false">ROUND((((N87/(1-N96))-N87)*N$2),0)</f>
        <v>3</v>
      </c>
      <c r="O107" s="309" t="n">
        <f aca="false">ROUND((((O87/(1-O96))-O87)*O$2),0)</f>
        <v>3</v>
      </c>
      <c r="P107" s="309" t="n">
        <f aca="false">ROUND((((P87/(1-P96))-P87)*P$2),0)</f>
        <v>3</v>
      </c>
      <c r="Q107" s="309" t="n">
        <f aca="false">ROUND((((Q87/(1-Q96))-Q87)*Q$2),0)</f>
        <v>3</v>
      </c>
      <c r="R107" s="309" t="n">
        <f aca="false">ROUND((((R87/(1-R96))-R87)*R$2),0)</f>
        <v>3</v>
      </c>
      <c r="S107" s="309" t="n">
        <f aca="false">ROUND((((S87/(1-S96))-S87)*S$2),0)</f>
        <v>3</v>
      </c>
      <c r="T107" s="309" t="n">
        <f aca="false">ROUND((((T87/(1-T96))-T87)*T$2),0)</f>
        <v>3</v>
      </c>
      <c r="U107" s="309" t="n">
        <f aca="false">ROUND((((U87/(1-U96))-U87)*U$2),0)</f>
        <v>55</v>
      </c>
      <c r="V107" s="309" t="n">
        <f aca="false">ROUND((((V87/(1-V96))-V87)*V$2),0)</f>
        <v>57</v>
      </c>
      <c r="W107" s="309" t="n">
        <f aca="false">SUM(K107:V107)</f>
        <v>136</v>
      </c>
    </row>
    <row r="108" customFormat="false" ht="12.75" hidden="false" customHeight="true" outlineLevel="0" collapsed="false">
      <c r="J108" s="294" t="s">
        <v>493</v>
      </c>
      <c r="K108" s="556" t="n">
        <f aca="false">+K107+K105</f>
        <v>9</v>
      </c>
      <c r="L108" s="556" t="n">
        <f aca="false">+L107+L105</f>
        <v>37</v>
      </c>
      <c r="M108" s="556" t="n">
        <f aca="false">+M107+M105</f>
        <v>44</v>
      </c>
      <c r="N108" s="556" t="n">
        <f aca="false">+N107+N105</f>
        <v>43</v>
      </c>
      <c r="O108" s="556" t="n">
        <f aca="false">+O107+O105</f>
        <v>56</v>
      </c>
      <c r="P108" s="556" t="n">
        <f aca="false">+P107+P105</f>
        <v>54</v>
      </c>
      <c r="Q108" s="556" t="n">
        <f aca="false">+Q107+Q105</f>
        <v>56</v>
      </c>
      <c r="R108" s="556" t="n">
        <f aca="false">+R107+R105</f>
        <v>56</v>
      </c>
      <c r="S108" s="556" t="n">
        <f aca="false">+S107+S105</f>
        <v>54</v>
      </c>
      <c r="T108" s="556" t="n">
        <f aca="false">+T107+T105</f>
        <v>56</v>
      </c>
      <c r="U108" s="556" t="n">
        <f aca="false">+U107+U105</f>
        <v>207</v>
      </c>
      <c r="V108" s="556" t="n">
        <f aca="false">+V107+V105</f>
        <v>215</v>
      </c>
      <c r="W108" s="556" t="n">
        <f aca="false">SUM(K108:V108)</f>
        <v>887</v>
      </c>
    </row>
    <row r="109" customFormat="false" ht="12.75" hidden="false" customHeight="true" outlineLevel="0" collapsed="false"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</row>
    <row r="110" customFormat="false" ht="12.75" hidden="false" customHeight="true" outlineLevel="0" collapsed="false">
      <c r="J110" s="294" t="s">
        <v>494</v>
      </c>
      <c r="K110" s="309" t="e">
        <f aca="false">+ROUND(((K78+K79+K80+K81+K82+K87)*-K122*K$2),0)</f>
        <v>#REF!</v>
      </c>
      <c r="L110" s="309" t="e">
        <f aca="false">+ROUND(((L78+L79+L80+L81+L82+L87)*-L122*L$2),0)</f>
        <v>#REF!</v>
      </c>
      <c r="M110" s="309" t="e">
        <f aca="false">+ROUND(((M78+M79+M80+M81+M82+M87)*-M122*M$2),0)</f>
        <v>#REF!</v>
      </c>
      <c r="N110" s="309" t="e">
        <f aca="false">+ROUND(((N78+N79+N80+N81+N82+N87)*-N122*N$2),0)</f>
        <v>#REF!</v>
      </c>
      <c r="O110" s="309" t="e">
        <f aca="false">+ROUND(((O78+O79+O80+O81+O82+O87)*-O122*O$2),0)</f>
        <v>#REF!</v>
      </c>
      <c r="P110" s="309" t="e">
        <f aca="false">+ROUND(((P78+P79+P80+P81+P82+P87)*-P122*P$2),0)</f>
        <v>#REF!</v>
      </c>
      <c r="Q110" s="309" t="e">
        <f aca="false">+ROUND(((Q78+Q79+Q80+Q81+Q82+Q87)*-Q122*Q$2),0)</f>
        <v>#REF!</v>
      </c>
      <c r="R110" s="309" t="e">
        <f aca="false">+ROUND(((R78+R79+R80+R81+R82+R87)*-R122*R$2),0)</f>
        <v>#REF!</v>
      </c>
      <c r="S110" s="309" t="e">
        <f aca="false">+ROUND(((S78+S79+S80+S81+S82+S87)*-S122*S$2),0)</f>
        <v>#REF!</v>
      </c>
      <c r="T110" s="309" t="e">
        <f aca="false">+ROUND(((T78+T79+T80+T81+T82+T87)*-T122*T$2),0)</f>
        <v>#REF!</v>
      </c>
      <c r="U110" s="309" t="e">
        <f aca="false">+ROUND(((U78+U79+U80+U81+U82+U87)*-U122*U$2),0)</f>
        <v>#REF!</v>
      </c>
      <c r="V110" s="309" t="e">
        <f aca="false">+ROUND(((V78+V79+V80+V81+V82+V87)*-V122*V$2),0)</f>
        <v>#REF!</v>
      </c>
      <c r="W110" s="309" t="e">
        <f aca="false">SUM(K110:V110)</f>
        <v>#REF!</v>
      </c>
    </row>
    <row r="111" customFormat="false" ht="12.75" hidden="false" customHeight="true" outlineLevel="0" collapsed="false">
      <c r="J111" s="294" t="s">
        <v>71</v>
      </c>
      <c r="K111" s="309" t="e">
        <f aca="false">+ROUND(((K85+K87)*-K121*K76),0)</f>
        <v>#REF!</v>
      </c>
      <c r="L111" s="309" t="e">
        <f aca="false">+ROUND(((L85+L87)*-L121*L76),0)</f>
        <v>#REF!</v>
      </c>
      <c r="M111" s="309" t="e">
        <f aca="false">+ROUND(((M85+M87)*-M121*M76),0)</f>
        <v>#REF!</v>
      </c>
      <c r="N111" s="309" t="e">
        <f aca="false">+ROUND(((N85+N87)*-N121*N76),0)</f>
        <v>#REF!</v>
      </c>
      <c r="O111" s="309" t="e">
        <f aca="false">+ROUND(((O85+O87)*-O121*O76),0)</f>
        <v>#REF!</v>
      </c>
      <c r="P111" s="309" t="e">
        <f aca="false">+ROUND(((P85+P87)*-P121*P76),0)</f>
        <v>#REF!</v>
      </c>
      <c r="Q111" s="309" t="e">
        <f aca="false">+ROUND(((Q85+Q87)*-Q121*Q76),0)</f>
        <v>#REF!</v>
      </c>
      <c r="R111" s="309" t="e">
        <f aca="false">+ROUND(((R85+R87)*-R121*R76),0)</f>
        <v>#REF!</v>
      </c>
      <c r="S111" s="309" t="e">
        <f aca="false">+ROUND(((S85+S87)*-S121*S76),0)</f>
        <v>#REF!</v>
      </c>
      <c r="T111" s="309" t="e">
        <f aca="false">+ROUND(((T85+T87)*-T121*T76),0)</f>
        <v>#REF!</v>
      </c>
      <c r="U111" s="309" t="e">
        <f aca="false">+ROUND(((U85+U87)*-U121*U76),0)</f>
        <v>#REF!</v>
      </c>
      <c r="V111" s="309" t="e">
        <f aca="false">+ROUND(((V85+V87)*-V121*V76),0)</f>
        <v>#REF!</v>
      </c>
      <c r="W111" s="309" t="e">
        <f aca="false">SUM(K111:V111)</f>
        <v>#REF!</v>
      </c>
    </row>
    <row r="112" customFormat="false" ht="12.75" hidden="false" customHeight="true" outlineLevel="0" collapsed="false"/>
    <row r="113" customFormat="false" ht="12.75" hidden="false" customHeight="true" outlineLevel="0" collapsed="false">
      <c r="J113" s="294" t="s">
        <v>276</v>
      </c>
      <c r="K113" s="313" t="e">
        <f aca="false">ROUND((K108*K120),0)</f>
        <v>#REF!</v>
      </c>
      <c r="L113" s="313" t="e">
        <f aca="false">ROUND((L108*L120),0)</f>
        <v>#REF!</v>
      </c>
      <c r="M113" s="313" t="e">
        <f aca="false">ROUND((M108*M120),0)</f>
        <v>#REF!</v>
      </c>
      <c r="N113" s="313" t="e">
        <f aca="false">ROUND((N108*N120),0)</f>
        <v>#REF!</v>
      </c>
      <c r="O113" s="313" t="e">
        <f aca="false">ROUND((O108*O120),0)</f>
        <v>#REF!</v>
      </c>
      <c r="P113" s="313" t="e">
        <f aca="false">ROUND((P108*P120),0)</f>
        <v>#REF!</v>
      </c>
      <c r="Q113" s="313" t="e">
        <f aca="false">ROUND((Q108*Q120),0)</f>
        <v>#REF!</v>
      </c>
      <c r="R113" s="313" t="e">
        <f aca="false">ROUND((R108*R120),0)</f>
        <v>#REF!</v>
      </c>
      <c r="S113" s="313" t="e">
        <f aca="false">ROUND((S108*S120),0)</f>
        <v>#REF!</v>
      </c>
      <c r="T113" s="313" t="e">
        <f aca="false">ROUND((T108*T120),0)</f>
        <v>#REF!</v>
      </c>
      <c r="U113" s="313" t="e">
        <f aca="false">ROUND((U108*U120),0)</f>
        <v>#REF!</v>
      </c>
      <c r="V113" s="313" t="e">
        <f aca="false">ROUND((V108*V120),0)</f>
        <v>#REF!</v>
      </c>
      <c r="W113" s="313" t="e">
        <f aca="false">SUM(K113:V113)</f>
        <v>#REF!</v>
      </c>
    </row>
    <row r="114" customFormat="false" ht="12.75" hidden="false" customHeight="true" outlineLevel="0" collapsed="false"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 t="n">
        <f aca="false">SUM(K114:V114)</f>
        <v>0</v>
      </c>
    </row>
    <row r="115" customFormat="false" ht="12.75" hidden="false" customHeight="true" outlineLevel="0" collapsed="false">
      <c r="J115" s="294" t="s">
        <v>279</v>
      </c>
      <c r="K115" s="313" t="e">
        <f aca="false">ROUND((K110*K120),0)</f>
        <v>#REF!</v>
      </c>
      <c r="L115" s="313" t="e">
        <f aca="false">ROUND((L110*L120),0)</f>
        <v>#REF!</v>
      </c>
      <c r="M115" s="313" t="e">
        <f aca="false">ROUND((M110*M120),0)</f>
        <v>#REF!</v>
      </c>
      <c r="N115" s="313" t="e">
        <f aca="false">ROUND((N110*N120),0)</f>
        <v>#REF!</v>
      </c>
      <c r="O115" s="313" t="e">
        <f aca="false">ROUND((O110*O120),0)</f>
        <v>#REF!</v>
      </c>
      <c r="P115" s="313" t="e">
        <f aca="false">ROUND((P110*P120),0)</f>
        <v>#REF!</v>
      </c>
      <c r="Q115" s="313" t="e">
        <f aca="false">ROUND((Q110*Q120),0)</f>
        <v>#REF!</v>
      </c>
      <c r="R115" s="313" t="e">
        <f aca="false">ROUND((R110*R120),0)</f>
        <v>#REF!</v>
      </c>
      <c r="S115" s="313" t="e">
        <f aca="false">ROUND((S110*S120),0)</f>
        <v>#REF!</v>
      </c>
      <c r="T115" s="313" t="e">
        <f aca="false">ROUND((T110*T120),0)</f>
        <v>#REF!</v>
      </c>
      <c r="U115" s="313" t="e">
        <f aca="false">ROUND((U110*U120),0)</f>
        <v>#REF!</v>
      </c>
      <c r="V115" s="313" t="e">
        <f aca="false">ROUND((V110*V120),0)</f>
        <v>#REF!</v>
      </c>
      <c r="W115" s="313" t="e">
        <f aca="false">SUM(K115:V115)</f>
        <v>#REF!</v>
      </c>
    </row>
    <row r="116" customFormat="false" ht="12.75" hidden="false" customHeight="true" outlineLevel="0" collapsed="false">
      <c r="J116" s="294" t="s">
        <v>495</v>
      </c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 t="n">
        <f aca="false">SUM(K116:V116)</f>
        <v>0</v>
      </c>
    </row>
    <row r="117" customFormat="false" ht="12.75" hidden="false" customHeight="true" outlineLevel="0" collapsed="false">
      <c r="J117" s="294" t="s">
        <v>496</v>
      </c>
      <c r="K117" s="313" t="e">
        <f aca="false">ROUND((K111*K120),0)</f>
        <v>#REF!</v>
      </c>
      <c r="L117" s="313" t="e">
        <f aca="false">ROUND((L111*L120),0)</f>
        <v>#REF!</v>
      </c>
      <c r="M117" s="313" t="e">
        <f aca="false">ROUND((M111*M120),0)</f>
        <v>#REF!</v>
      </c>
      <c r="N117" s="313" t="e">
        <f aca="false">ROUND((N111*N120),0)</f>
        <v>#REF!</v>
      </c>
      <c r="O117" s="313" t="e">
        <f aca="false">ROUND((O111*O120),0)</f>
        <v>#REF!</v>
      </c>
      <c r="P117" s="313" t="e">
        <f aca="false">ROUND((P111*P120),0)</f>
        <v>#REF!</v>
      </c>
      <c r="Q117" s="313" t="e">
        <f aca="false">ROUND((Q111*Q120),0)</f>
        <v>#REF!</v>
      </c>
      <c r="R117" s="313" t="e">
        <f aca="false">ROUND((R111*R120),0)</f>
        <v>#REF!</v>
      </c>
      <c r="S117" s="313" t="e">
        <f aca="false">ROUND((S111*S120),0)</f>
        <v>#REF!</v>
      </c>
      <c r="T117" s="313" t="e">
        <f aca="false">ROUND((T111*T120),0)</f>
        <v>#REF!</v>
      </c>
      <c r="U117" s="313" t="e">
        <f aca="false">ROUND((U111*U120),0)</f>
        <v>#REF!</v>
      </c>
      <c r="V117" s="313" t="e">
        <f aca="false">ROUND((V111*V120),0)</f>
        <v>#REF!</v>
      </c>
      <c r="W117" s="313" t="e">
        <f aca="false">SUM(K117:V117)</f>
        <v>#REF!</v>
      </c>
    </row>
    <row r="118" customFormat="false" ht="12.75" hidden="false" customHeight="true" outlineLevel="0" collapsed="false">
      <c r="J118" s="294" t="s">
        <v>283</v>
      </c>
      <c r="K118" s="317" t="e">
        <f aca="false">SUM(K113:K117)</f>
        <v>#REF!</v>
      </c>
      <c r="L118" s="317" t="e">
        <f aca="false">SUM(L113:L117)</f>
        <v>#REF!</v>
      </c>
      <c r="M118" s="317" t="e">
        <f aca="false">SUM(M113:M117)</f>
        <v>#REF!</v>
      </c>
      <c r="N118" s="317" t="e">
        <f aca="false">SUM(N113:N117)</f>
        <v>#REF!</v>
      </c>
      <c r="O118" s="317" t="e">
        <f aca="false">SUM(O113:O117)</f>
        <v>#REF!</v>
      </c>
      <c r="P118" s="317" t="e">
        <f aca="false">SUM(P113:P117)</f>
        <v>#REF!</v>
      </c>
      <c r="Q118" s="317" t="e">
        <f aca="false">SUM(Q113:Q117)</f>
        <v>#REF!</v>
      </c>
      <c r="R118" s="317" t="e">
        <f aca="false">SUM(R113:R117)</f>
        <v>#REF!</v>
      </c>
      <c r="S118" s="317" t="e">
        <f aca="false">SUM(S113:S117)</f>
        <v>#REF!</v>
      </c>
      <c r="T118" s="317" t="e">
        <f aca="false">SUM(T113:T117)</f>
        <v>#REF!</v>
      </c>
      <c r="U118" s="317" t="e">
        <f aca="false">SUM(U113:U117)</f>
        <v>#REF!</v>
      </c>
      <c r="V118" s="317" t="e">
        <f aca="false">SUM(V113:V117)</f>
        <v>#REF!</v>
      </c>
      <c r="W118" s="317" t="e">
        <f aca="false">SUM(K118:V118)</f>
        <v>#REF!</v>
      </c>
    </row>
    <row r="119" customFormat="false" ht="12.75" hidden="false" customHeight="true" outlineLevel="0" collapsed="false"/>
    <row r="120" customFormat="false" ht="12.75" hidden="false" customHeight="true" outlineLevel="0" collapsed="false">
      <c r="J120" s="319" t="s">
        <v>297</v>
      </c>
      <c r="K120" s="319" t="e">
        <f aca="false">#REF!</f>
        <v>#REF!</v>
      </c>
      <c r="L120" s="319" t="e">
        <f aca="false">#REF!</f>
        <v>#REF!</v>
      </c>
      <c r="M120" s="319" t="e">
        <f aca="false">#REF!</f>
        <v>#REF!</v>
      </c>
      <c r="N120" s="319" t="e">
        <f aca="false">#REF!</f>
        <v>#REF!</v>
      </c>
      <c r="O120" s="319" t="e">
        <f aca="false">#REF!</f>
        <v>#REF!</v>
      </c>
      <c r="P120" s="319" t="e">
        <f aca="false">#REF!</f>
        <v>#REF!</v>
      </c>
      <c r="Q120" s="319" t="e">
        <f aca="false">#REF!</f>
        <v>#REF!</v>
      </c>
      <c r="R120" s="319" t="e">
        <f aca="false">#REF!</f>
        <v>#REF!</v>
      </c>
      <c r="S120" s="319" t="e">
        <f aca="false">#REF!</f>
        <v>#REF!</v>
      </c>
      <c r="T120" s="319" t="e">
        <f aca="false">#REF!</f>
        <v>#REF!</v>
      </c>
      <c r="U120" s="319" t="e">
        <f aca="false">#REF!</f>
        <v>#REF!</v>
      </c>
      <c r="V120" s="319" t="e">
        <f aca="false">#REF!</f>
        <v>#REF!</v>
      </c>
      <c r="W120" s="319" t="e">
        <f aca="false">#REF!</f>
        <v>#REF!</v>
      </c>
    </row>
    <row r="121" customFormat="false" ht="12.75" hidden="false" customHeight="true" outlineLevel="0" collapsed="false">
      <c r="J121" s="321" t="s">
        <v>497</v>
      </c>
      <c r="K121" s="321" t="e">
        <f aca="false">#REF!</f>
        <v>#REF!</v>
      </c>
      <c r="L121" s="321" t="e">
        <f aca="false">#REF!</f>
        <v>#REF!</v>
      </c>
      <c r="M121" s="321" t="e">
        <f aca="false">#REF!</f>
        <v>#REF!</v>
      </c>
      <c r="N121" s="321" t="e">
        <f aca="false">#REF!</f>
        <v>#REF!</v>
      </c>
      <c r="O121" s="321" t="e">
        <f aca="false">#REF!</f>
        <v>#REF!</v>
      </c>
      <c r="P121" s="321" t="e">
        <f aca="false">#REF!</f>
        <v>#REF!</v>
      </c>
      <c r="Q121" s="321" t="e">
        <f aca="false">#REF!</f>
        <v>#REF!</v>
      </c>
      <c r="R121" s="321" t="e">
        <f aca="false">#REF!</f>
        <v>#REF!</v>
      </c>
      <c r="S121" s="321" t="e">
        <f aca="false">#REF!</f>
        <v>#REF!</v>
      </c>
      <c r="T121" s="321" t="e">
        <f aca="false">#REF!</f>
        <v>#REF!</v>
      </c>
      <c r="U121" s="321" t="e">
        <f aca="false">#REF!</f>
        <v>#REF!</v>
      </c>
      <c r="V121" s="321" t="e">
        <f aca="false">#REF!</f>
        <v>#REF!</v>
      </c>
      <c r="W121" s="321" t="e">
        <f aca="false">#REF!</f>
        <v>#REF!</v>
      </c>
    </row>
    <row r="122" customFormat="false" ht="12.75" hidden="false" customHeight="true" outlineLevel="0" collapsed="false">
      <c r="J122" s="321" t="s">
        <v>498</v>
      </c>
      <c r="K122" s="321" t="e">
        <f aca="false">#REF!</f>
        <v>#REF!</v>
      </c>
      <c r="L122" s="321" t="e">
        <f aca="false">#REF!</f>
        <v>#REF!</v>
      </c>
      <c r="M122" s="321" t="e">
        <f aca="false">#REF!</f>
        <v>#REF!</v>
      </c>
      <c r="N122" s="321" t="e">
        <f aca="false">#REF!</f>
        <v>#REF!</v>
      </c>
      <c r="O122" s="321" t="e">
        <f aca="false">#REF!</f>
        <v>#REF!</v>
      </c>
      <c r="P122" s="321" t="e">
        <f aca="false">#REF!</f>
        <v>#REF!</v>
      </c>
      <c r="Q122" s="321" t="e">
        <f aca="false">#REF!</f>
        <v>#REF!</v>
      </c>
      <c r="R122" s="321" t="e">
        <f aca="false">#REF!</f>
        <v>#REF!</v>
      </c>
      <c r="S122" s="321" t="e">
        <f aca="false">#REF!</f>
        <v>#REF!</v>
      </c>
      <c r="T122" s="321" t="e">
        <f aca="false">#REF!</f>
        <v>#REF!</v>
      </c>
      <c r="U122" s="321" t="e">
        <f aca="false">#REF!</f>
        <v>#REF!</v>
      </c>
      <c r="V122" s="321" t="e">
        <f aca="false">#REF!</f>
        <v>#REF!</v>
      </c>
      <c r="W122" s="321" t="e">
        <f aca="false">#REF!</f>
        <v>#REF!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131"/>
  <sheetViews>
    <sheetView showFormulas="false" showGridLines="true" showRowColHeaders="true" showZeros="true" rightToLeft="false" tabSelected="false" showOutlineSymbols="true" defaultGridColor="true" view="normal" topLeftCell="O19" colorId="64" zoomScale="75" zoomScaleNormal="75" zoomScalePageLayoutView="100" workbookViewId="0">
      <selection pane="topLeft" activeCell="U59" activeCellId="0" sqref="U59"/>
    </sheetView>
  </sheetViews>
  <sheetFormatPr defaultColWidth="20.9921875" defaultRowHeight="12.75" customHeight="true" zeroHeight="false" outlineLevelRow="0" outlineLevelCol="0"/>
  <cols>
    <col collapsed="false" customWidth="false" hidden="false" outlineLevel="0" max="5" min="1" style="294" width="20.98"/>
    <col collapsed="false" customWidth="true" hidden="false" outlineLevel="0" max="6" min="6" style="294" width="40.38"/>
    <col collapsed="false" customWidth="false" hidden="false" outlineLevel="0" max="24" min="7" style="294" width="20.98"/>
    <col collapsed="false" customWidth="true" hidden="false" outlineLevel="0" max="25" min="25" style="294" width="9.78"/>
    <col collapsed="false" customWidth="false" hidden="false" outlineLevel="0" max="257" min="26" style="294" width="20.98"/>
  </cols>
  <sheetData>
    <row r="2" customFormat="false" ht="12.75" hidden="false" customHeight="true" outlineLevel="0" collapsed="false">
      <c r="K2" s="360" t="n">
        <v>31</v>
      </c>
      <c r="L2" s="360" t="n">
        <v>28</v>
      </c>
      <c r="M2" s="360" t="n">
        <v>31</v>
      </c>
      <c r="N2" s="360" t="n">
        <v>30</v>
      </c>
      <c r="O2" s="360" t="n">
        <v>31</v>
      </c>
      <c r="P2" s="360" t="n">
        <v>30</v>
      </c>
      <c r="Q2" s="360" t="n">
        <v>31</v>
      </c>
      <c r="R2" s="360" t="n">
        <v>31</v>
      </c>
      <c r="S2" s="360" t="n">
        <v>30</v>
      </c>
      <c r="T2" s="360" t="n">
        <v>31</v>
      </c>
      <c r="U2" s="360" t="n">
        <v>30</v>
      </c>
      <c r="V2" s="360" t="n">
        <v>31</v>
      </c>
    </row>
    <row r="3" customFormat="false" ht="12.75" hidden="false" customHeight="true" outlineLevel="0" collapsed="false"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</row>
    <row r="4" customFormat="false" ht="12.75" hidden="false" customHeight="true" outlineLevel="0" collapsed="false"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</row>
    <row r="5" customFormat="false" ht="12.75" hidden="false" customHeight="true" outlineLevel="0" collapsed="false">
      <c r="K5" s="360" t="s">
        <v>233</v>
      </c>
      <c r="L5" s="360" t="s">
        <v>234</v>
      </c>
      <c r="M5" s="360" t="s">
        <v>98</v>
      </c>
      <c r="N5" s="360" t="s">
        <v>99</v>
      </c>
      <c r="O5" s="360" t="s">
        <v>100</v>
      </c>
      <c r="P5" s="360" t="s">
        <v>101</v>
      </c>
      <c r="Q5" s="360" t="s">
        <v>102</v>
      </c>
      <c r="R5" s="360" t="s">
        <v>239</v>
      </c>
      <c r="S5" s="360" t="s">
        <v>326</v>
      </c>
      <c r="T5" s="360" t="s">
        <v>241</v>
      </c>
      <c r="U5" s="360" t="s">
        <v>242</v>
      </c>
      <c r="V5" s="360" t="s">
        <v>243</v>
      </c>
      <c r="W5" s="294" t="s">
        <v>244</v>
      </c>
    </row>
    <row r="6" customFormat="false" ht="12.75" hidden="false" customHeight="true" outlineLevel="0" collapsed="false">
      <c r="A6" s="294" t="s">
        <v>502</v>
      </c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>
      <c r="A9" s="294" t="s">
        <v>334</v>
      </c>
      <c r="B9" s="294" t="s">
        <v>335</v>
      </c>
      <c r="C9" s="294" t="s">
        <v>478</v>
      </c>
      <c r="D9" s="294" t="s">
        <v>336</v>
      </c>
      <c r="E9" s="359" t="s">
        <v>337</v>
      </c>
      <c r="F9" s="294" t="s">
        <v>338</v>
      </c>
      <c r="G9" s="294" t="s">
        <v>339</v>
      </c>
      <c r="H9" s="359" t="s">
        <v>340</v>
      </c>
      <c r="I9" s="360" t="s">
        <v>341</v>
      </c>
      <c r="J9" s="294" t="s">
        <v>225</v>
      </c>
    </row>
    <row r="10" customFormat="false" ht="12.75" hidden="false" customHeight="true" outlineLevel="0" collapsed="false">
      <c r="E10" s="359"/>
      <c r="H10" s="359"/>
      <c r="I10" s="360"/>
    </row>
    <row r="11" customFormat="false" ht="12.75" hidden="false" customHeight="true" outlineLevel="0" collapsed="false">
      <c r="A11" s="294" t="s">
        <v>343</v>
      </c>
      <c r="B11" s="294" t="s">
        <v>344</v>
      </c>
      <c r="C11" s="294" t="s">
        <v>5</v>
      </c>
      <c r="D11" s="294" t="s">
        <v>332</v>
      </c>
      <c r="E11" s="374" t="n">
        <v>26751</v>
      </c>
      <c r="F11" s="294" t="s">
        <v>345</v>
      </c>
      <c r="H11" s="378" t="n">
        <v>36922</v>
      </c>
      <c r="I11" s="360" t="n">
        <v>20000</v>
      </c>
      <c r="J11" s="294" t="n">
        <v>0.03</v>
      </c>
      <c r="L11" s="360" t="n">
        <f aca="false">$I11*$J11*L$2</f>
        <v>16800</v>
      </c>
      <c r="M11" s="360" t="n">
        <f aca="false">$I11*$J11*M$2</f>
        <v>18600</v>
      </c>
      <c r="N11" s="360" t="n">
        <f aca="false">$I11*$J11*N$2</f>
        <v>18000</v>
      </c>
      <c r="O11" s="360" t="n">
        <f aca="false">$I11*$J11*O$2</f>
        <v>18600</v>
      </c>
      <c r="P11" s="360" t="n">
        <f aca="false">$I11*$J11*P$2</f>
        <v>18000</v>
      </c>
      <c r="Q11" s="360" t="n">
        <f aca="false">$I11*$J11*Q$2</f>
        <v>18600</v>
      </c>
      <c r="R11" s="360" t="n">
        <f aca="false">$I11*$J11*R$2</f>
        <v>18600</v>
      </c>
      <c r="S11" s="360" t="n">
        <f aca="false">$I11*$J11*S$2</f>
        <v>18000</v>
      </c>
      <c r="T11" s="360" t="n">
        <f aca="false">$I11*$J11*T$2</f>
        <v>18600</v>
      </c>
      <c r="U11" s="360" t="n">
        <f aca="false">$I11*$J11*U$2</f>
        <v>18000</v>
      </c>
      <c r="V11" s="360" t="n">
        <f aca="false">$I11*$J11*V$2</f>
        <v>18600</v>
      </c>
      <c r="W11" s="360" t="n">
        <f aca="false">SUM(K11:V11)</f>
        <v>200400</v>
      </c>
    </row>
    <row r="12" customFormat="false" ht="12.75" hidden="false" customHeight="true" outlineLevel="0" collapsed="false">
      <c r="A12" s="294" t="s">
        <v>343</v>
      </c>
      <c r="B12" s="294" t="s">
        <v>344</v>
      </c>
      <c r="C12" s="294" t="s">
        <v>5</v>
      </c>
      <c r="D12" s="294" t="s">
        <v>332</v>
      </c>
      <c r="E12" s="374" t="n">
        <v>26490</v>
      </c>
      <c r="F12" s="294" t="s">
        <v>350</v>
      </c>
      <c r="G12" s="375" t="n">
        <v>36100</v>
      </c>
      <c r="H12" s="378" t="n">
        <v>37195</v>
      </c>
      <c r="I12" s="360" t="n">
        <v>70000</v>
      </c>
      <c r="J12" s="294" t="n">
        <v>0</v>
      </c>
      <c r="L12" s="360"/>
      <c r="M12" s="360"/>
      <c r="N12" s="360"/>
      <c r="O12" s="360"/>
      <c r="P12" s="360"/>
      <c r="Q12" s="360"/>
      <c r="R12" s="360"/>
      <c r="S12" s="360"/>
      <c r="T12" s="360"/>
      <c r="U12" s="360" t="n">
        <f aca="false">$I12*$J12*U$2</f>
        <v>0</v>
      </c>
      <c r="V12" s="360" t="n">
        <f aca="false">$I12*$J12*V$2</f>
        <v>0</v>
      </c>
      <c r="W12" s="360" t="n">
        <f aca="false">SUM(U12:V12)</f>
        <v>0</v>
      </c>
    </row>
    <row r="13" customFormat="false" ht="12.75" hidden="false" customHeight="true" outlineLevel="0" collapsed="false">
      <c r="A13" s="294" t="s">
        <v>343</v>
      </c>
      <c r="B13" s="294" t="s">
        <v>344</v>
      </c>
      <c r="C13" s="294" t="s">
        <v>5</v>
      </c>
      <c r="D13" s="294" t="s">
        <v>332</v>
      </c>
      <c r="E13" s="359" t="n">
        <v>26683</v>
      </c>
      <c r="F13" s="294" t="s">
        <v>356</v>
      </c>
      <c r="G13" s="375" t="n">
        <v>36220</v>
      </c>
      <c r="H13" s="378" t="n">
        <v>36981</v>
      </c>
      <c r="I13" s="360" t="n">
        <v>8000</v>
      </c>
      <c r="J13" s="294" t="n">
        <v>0.03</v>
      </c>
      <c r="L13" s="360"/>
      <c r="M13" s="360"/>
      <c r="N13" s="360" t="n">
        <f aca="false">$I13*$J13*N$2</f>
        <v>7200</v>
      </c>
      <c r="O13" s="360" t="n">
        <f aca="false">$I13*$J13*O$2</f>
        <v>7440</v>
      </c>
      <c r="P13" s="360" t="n">
        <f aca="false">$I13*$J13*P$2</f>
        <v>7200</v>
      </c>
      <c r="Q13" s="360" t="n">
        <f aca="false">$I13*$J13*Q$2</f>
        <v>7440</v>
      </c>
      <c r="R13" s="360" t="n">
        <f aca="false">$I13*$J13*R$2</f>
        <v>7440</v>
      </c>
      <c r="S13" s="360" t="n">
        <f aca="false">$I13*$J13*S$2</f>
        <v>7200</v>
      </c>
      <c r="T13" s="360" t="n">
        <f aca="false">$I13*$J13*T$2</f>
        <v>7440</v>
      </c>
      <c r="U13" s="360" t="n">
        <f aca="false">$I13*$J13*U$2</f>
        <v>7200</v>
      </c>
      <c r="V13" s="360" t="n">
        <f aca="false">$I13*$J13*V$2</f>
        <v>7440</v>
      </c>
      <c r="W13" s="360" t="n">
        <f aca="false">SUM(K13:V13)</f>
        <v>66000</v>
      </c>
    </row>
    <row r="14" customFormat="false" ht="12.75" hidden="false" customHeight="true" outlineLevel="0" collapsed="false">
      <c r="E14" s="359"/>
      <c r="H14" s="378"/>
      <c r="I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</row>
    <row r="15" customFormat="false" ht="12.75" hidden="false" customHeight="true" outlineLevel="0" collapsed="false">
      <c r="E15" s="359"/>
      <c r="H15" s="378"/>
      <c r="I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</row>
    <row r="16" customFormat="false" ht="12.75" hidden="false" customHeight="true" outlineLevel="0" collapsed="false">
      <c r="E16" s="359"/>
      <c r="H16" s="378"/>
      <c r="I16" s="360" t="n">
        <f aca="false">SUM(I11:I15)</f>
        <v>98000</v>
      </c>
      <c r="L16" s="360" t="n">
        <f aca="false">SUM(L11:L15)</f>
        <v>16800</v>
      </c>
      <c r="M16" s="360" t="n">
        <f aca="false">SUM(M11:M15)</f>
        <v>18600</v>
      </c>
      <c r="N16" s="360" t="n">
        <f aca="false">SUM(N11:N15)</f>
        <v>25200</v>
      </c>
      <c r="O16" s="360" t="n">
        <f aca="false">SUM(O11:O15)</f>
        <v>26040</v>
      </c>
      <c r="P16" s="360" t="n">
        <f aca="false">SUM(P11:P15)</f>
        <v>25200</v>
      </c>
      <c r="Q16" s="360" t="n">
        <f aca="false">SUM(Q11:Q15)</f>
        <v>26040</v>
      </c>
      <c r="R16" s="360" t="n">
        <f aca="false">SUM(R11:R15)</f>
        <v>26040</v>
      </c>
      <c r="S16" s="360" t="n">
        <f aca="false">SUM(S11:S15)</f>
        <v>25200</v>
      </c>
      <c r="T16" s="360" t="n">
        <f aca="false">SUM(T11:T15)</f>
        <v>26040</v>
      </c>
      <c r="U16" s="360" t="n">
        <f aca="false">SUM(U11:U15)</f>
        <v>25200</v>
      </c>
      <c r="V16" s="360" t="n">
        <f aca="false">SUM(V11:V15)</f>
        <v>26040</v>
      </c>
      <c r="W16" s="360" t="n">
        <f aca="false">SUM(W11:W15)</f>
        <v>266400</v>
      </c>
      <c r="X16" s="417" t="n">
        <f aca="false">W16</f>
        <v>266400</v>
      </c>
      <c r="Y16" s="417"/>
    </row>
    <row r="17" customFormat="false" ht="12.75" hidden="false" customHeight="true" outlineLevel="0" collapsed="false">
      <c r="E17" s="359"/>
      <c r="H17" s="378"/>
      <c r="I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</row>
    <row r="18" customFormat="false" ht="12.75" hidden="false" customHeight="true" outlineLevel="0" collapsed="false">
      <c r="A18" s="294" t="s">
        <v>231</v>
      </c>
      <c r="B18" s="294" t="s">
        <v>425</v>
      </c>
      <c r="C18" s="294" t="s">
        <v>5</v>
      </c>
      <c r="D18" s="294" t="s">
        <v>332</v>
      </c>
      <c r="E18" s="538" t="n">
        <v>24194</v>
      </c>
      <c r="F18" s="462" t="s">
        <v>426</v>
      </c>
      <c r="H18" s="463" t="n">
        <v>37164</v>
      </c>
      <c r="I18" s="464" t="n">
        <v>25000</v>
      </c>
      <c r="J18" s="294" t="n">
        <v>0.09</v>
      </c>
      <c r="L18" s="360"/>
      <c r="M18" s="360"/>
      <c r="N18" s="360"/>
      <c r="O18" s="360"/>
      <c r="P18" s="360"/>
      <c r="Q18" s="360"/>
      <c r="R18" s="360"/>
      <c r="S18" s="360"/>
      <c r="T18" s="360" t="n">
        <f aca="false">10000*$J18*T$2</f>
        <v>27900</v>
      </c>
      <c r="U18" s="360" t="n">
        <f aca="false">40000*$J18*U$2</f>
        <v>108000</v>
      </c>
      <c r="V18" s="360" t="n">
        <f aca="false">40000*$J18*V$2</f>
        <v>111600</v>
      </c>
      <c r="W18" s="360" t="n">
        <f aca="false">SUM(K18:V18)</f>
        <v>247500</v>
      </c>
    </row>
    <row r="19" customFormat="false" ht="12.75" hidden="false" customHeight="true" outlineLevel="0" collapsed="false">
      <c r="E19" s="538"/>
      <c r="F19" s="462"/>
      <c r="H19" s="463"/>
      <c r="I19" s="464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</row>
    <row r="20" customFormat="false" ht="12.75" hidden="false" customHeight="true" outlineLevel="0" collapsed="false">
      <c r="A20" s="294" t="s">
        <v>231</v>
      </c>
      <c r="B20" s="294" t="s">
        <v>425</v>
      </c>
      <c r="C20" s="294" t="s">
        <v>5</v>
      </c>
      <c r="D20" s="294" t="s">
        <v>332</v>
      </c>
      <c r="E20" s="539" t="n">
        <v>24690</v>
      </c>
      <c r="F20" s="466" t="s">
        <v>430</v>
      </c>
      <c r="H20" s="467" t="n">
        <v>36981</v>
      </c>
      <c r="I20" s="468" t="n">
        <v>0</v>
      </c>
      <c r="J20" s="294" t="n">
        <v>0.015</v>
      </c>
      <c r="L20" s="360"/>
      <c r="M20" s="360"/>
      <c r="N20" s="360" t="n">
        <f aca="false">$I20*$J20*N$2</f>
        <v>0</v>
      </c>
      <c r="O20" s="360" t="n">
        <f aca="false">$I20*$J20*O$2</f>
        <v>0</v>
      </c>
      <c r="P20" s="360" t="n">
        <f aca="false">$I20*$J20*P$2</f>
        <v>0</v>
      </c>
      <c r="Q20" s="360" t="n">
        <f aca="false">$I20*$J20*Q$2</f>
        <v>0</v>
      </c>
      <c r="R20" s="360" t="n">
        <f aca="false">$I20*$J20*R$2</f>
        <v>0</v>
      </c>
      <c r="S20" s="360" t="n">
        <f aca="false">$I20*$J20*S$2</f>
        <v>0</v>
      </c>
      <c r="T20" s="360" t="n">
        <f aca="false">$I20*$J20*T$2</f>
        <v>0</v>
      </c>
      <c r="U20" s="360" t="n">
        <f aca="false">$I20*$J20*U$2</f>
        <v>0</v>
      </c>
      <c r="V20" s="360" t="n">
        <f aca="false">$I20*$J20*V$2</f>
        <v>0</v>
      </c>
      <c r="W20" s="360" t="n">
        <f aca="false">SUM(K20:V20)</f>
        <v>0</v>
      </c>
    </row>
    <row r="21" customFormat="false" ht="12.75" hidden="false" customHeight="true" outlineLevel="0" collapsed="false">
      <c r="A21" s="294" t="s">
        <v>231</v>
      </c>
      <c r="B21" s="294" t="s">
        <v>425</v>
      </c>
      <c r="C21" s="294" t="s">
        <v>5</v>
      </c>
      <c r="D21" s="294" t="s">
        <v>332</v>
      </c>
      <c r="E21" s="539" t="n">
        <v>24754</v>
      </c>
      <c r="F21" s="466" t="s">
        <v>431</v>
      </c>
      <c r="H21" s="481" t="n">
        <v>37011</v>
      </c>
      <c r="I21" s="468" t="n">
        <v>1000</v>
      </c>
      <c r="J21" s="294" t="s">
        <v>503</v>
      </c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</row>
    <row r="22" customFormat="false" ht="12.75" hidden="false" customHeight="true" outlineLevel="0" collapsed="false">
      <c r="A22" s="294" t="s">
        <v>231</v>
      </c>
      <c r="B22" s="294" t="s">
        <v>425</v>
      </c>
      <c r="C22" s="294" t="s">
        <v>5</v>
      </c>
      <c r="D22" s="294" t="s">
        <v>332</v>
      </c>
      <c r="E22" s="539" t="s">
        <v>433</v>
      </c>
      <c r="F22" s="466" t="s">
        <v>357</v>
      </c>
      <c r="H22" s="467" t="n">
        <v>36950</v>
      </c>
      <c r="I22" s="468" t="n">
        <v>10000</v>
      </c>
      <c r="J22" s="294" t="n">
        <v>0.005</v>
      </c>
      <c r="L22" s="360"/>
      <c r="M22" s="360" t="n">
        <f aca="false">$I22*$J22*M$2</f>
        <v>1550</v>
      </c>
      <c r="N22" s="360" t="n">
        <f aca="false">$I22*$J22*N$2</f>
        <v>1500</v>
      </c>
      <c r="O22" s="360" t="n">
        <f aca="false">$I22*$J22*O$2</f>
        <v>1550</v>
      </c>
      <c r="P22" s="360" t="n">
        <f aca="false">$I22*$J22*P$2</f>
        <v>1500</v>
      </c>
      <c r="Q22" s="360" t="n">
        <f aca="false">$I22*$J22*Q$2</f>
        <v>1550</v>
      </c>
      <c r="R22" s="360" t="n">
        <f aca="false">$I22*$J22*R$2</f>
        <v>1550</v>
      </c>
      <c r="S22" s="360" t="n">
        <f aca="false">$I22*$J22*S$2</f>
        <v>1500</v>
      </c>
      <c r="T22" s="360" t="n">
        <f aca="false">$I22*$J22*T$2</f>
        <v>1550</v>
      </c>
      <c r="U22" s="360" t="n">
        <f aca="false">$I22*$J22*U$2</f>
        <v>1500</v>
      </c>
      <c r="V22" s="360" t="n">
        <f aca="false">$I22*$J22*V$2</f>
        <v>1550</v>
      </c>
      <c r="W22" s="360" t="n">
        <f aca="false">SUM(K22:V22)</f>
        <v>15300</v>
      </c>
    </row>
    <row r="23" customFormat="false" ht="12.75" hidden="false" customHeight="true" outlineLevel="0" collapsed="false">
      <c r="A23" s="294" t="s">
        <v>231</v>
      </c>
      <c r="B23" s="294" t="s">
        <v>425</v>
      </c>
      <c r="C23" s="294" t="s">
        <v>5</v>
      </c>
      <c r="D23" s="294" t="s">
        <v>332</v>
      </c>
      <c r="E23" s="539" t="n">
        <v>27161</v>
      </c>
      <c r="F23" s="466" t="s">
        <v>434</v>
      </c>
      <c r="H23" s="467" t="n">
        <v>37195</v>
      </c>
      <c r="I23" s="472" t="n">
        <v>400000</v>
      </c>
      <c r="J23" s="294" t="n">
        <v>0.0075</v>
      </c>
      <c r="L23" s="360"/>
      <c r="M23" s="360"/>
      <c r="N23" s="360"/>
      <c r="O23" s="360"/>
      <c r="P23" s="360"/>
      <c r="Q23" s="360"/>
      <c r="R23" s="360"/>
      <c r="S23" s="360"/>
      <c r="T23" s="360"/>
      <c r="U23" s="360" t="n">
        <v>90000</v>
      </c>
      <c r="V23" s="360" t="n">
        <v>93000</v>
      </c>
      <c r="W23" s="360" t="n">
        <f aca="false">SUM(K23:V23)</f>
        <v>183000</v>
      </c>
    </row>
    <row r="24" customFormat="false" ht="12.75" hidden="false" customHeight="true" outlineLevel="0" collapsed="false">
      <c r="E24" s="539" t="n">
        <v>27161</v>
      </c>
      <c r="F24" s="466" t="s">
        <v>504</v>
      </c>
      <c r="H24" s="467"/>
      <c r="I24" s="472"/>
      <c r="J24" s="294" t="n">
        <v>0.0093</v>
      </c>
      <c r="L24" s="360"/>
      <c r="M24" s="360"/>
      <c r="N24" s="360"/>
      <c r="O24" s="360"/>
      <c r="P24" s="360"/>
      <c r="Q24" s="360"/>
      <c r="R24" s="360"/>
      <c r="S24" s="360"/>
      <c r="T24" s="360"/>
      <c r="U24" s="360" t="n">
        <v>39060</v>
      </c>
      <c r="V24" s="360" t="n">
        <v>40362</v>
      </c>
      <c r="W24" s="360" t="n">
        <f aca="false">SUM(K24:V24)</f>
        <v>79422</v>
      </c>
    </row>
    <row r="25" customFormat="false" ht="12.75" hidden="false" customHeight="true" outlineLevel="0" collapsed="false">
      <c r="A25" s="294" t="s">
        <v>231</v>
      </c>
      <c r="B25" s="294" t="s">
        <v>425</v>
      </c>
      <c r="C25" s="294" t="s">
        <v>5</v>
      </c>
      <c r="D25" s="294" t="s">
        <v>332</v>
      </c>
      <c r="E25" s="539" t="s">
        <v>435</v>
      </c>
      <c r="F25" s="466" t="s">
        <v>350</v>
      </c>
      <c r="H25" s="467" t="n">
        <v>37195</v>
      </c>
      <c r="I25" s="540" t="n">
        <v>40000</v>
      </c>
      <c r="J25" s="294" t="n">
        <v>0</v>
      </c>
      <c r="L25" s="368"/>
      <c r="M25" s="368"/>
      <c r="N25" s="368"/>
      <c r="O25" s="368"/>
      <c r="P25" s="368"/>
      <c r="Q25" s="368"/>
      <c r="R25" s="368"/>
      <c r="S25" s="368"/>
      <c r="T25" s="368"/>
      <c r="U25" s="368" t="n">
        <f aca="false">$I25*$J25*U$2</f>
        <v>0</v>
      </c>
      <c r="V25" s="368" t="n">
        <f aca="false">$I25*$J25*V$2</f>
        <v>0</v>
      </c>
      <c r="W25" s="360" t="n">
        <f aca="false">SUM(K25:V25)</f>
        <v>0</v>
      </c>
    </row>
    <row r="26" customFormat="false" ht="12.75" hidden="false" customHeight="true" outlineLevel="0" collapsed="false">
      <c r="E26" s="539"/>
      <c r="F26" s="466"/>
      <c r="H26" s="467"/>
      <c r="I26" s="472" t="n">
        <f aca="false">SUM(I18:I25)</f>
        <v>476000</v>
      </c>
      <c r="L26" s="360" t="n">
        <f aca="false">SUM(L18:L25)</f>
        <v>0</v>
      </c>
      <c r="M26" s="360" t="n">
        <f aca="false">SUM(M18:M25)</f>
        <v>1550</v>
      </c>
      <c r="N26" s="360" t="n">
        <f aca="false">SUM(N18:N25)</f>
        <v>1500</v>
      </c>
      <c r="O26" s="360" t="n">
        <f aca="false">SUM(O18:O25)</f>
        <v>1550</v>
      </c>
      <c r="P26" s="360" t="n">
        <f aca="false">SUM(P18:P25)</f>
        <v>1500</v>
      </c>
      <c r="Q26" s="360" t="n">
        <f aca="false">SUM(Q18:Q25)</f>
        <v>1550</v>
      </c>
      <c r="R26" s="360" t="n">
        <f aca="false">SUM(R18:R25)</f>
        <v>1550</v>
      </c>
      <c r="S26" s="360" t="n">
        <f aca="false">SUM(S18:S25)</f>
        <v>1500</v>
      </c>
      <c r="T26" s="360" t="n">
        <f aca="false">SUM(T18:T25)</f>
        <v>29450</v>
      </c>
      <c r="U26" s="360" t="n">
        <f aca="false">SUM(U18:U25)</f>
        <v>238560</v>
      </c>
      <c r="V26" s="360" t="n">
        <f aca="false">SUM(V18:V25)</f>
        <v>246512</v>
      </c>
      <c r="W26" s="360" t="n">
        <f aca="false">SUM(W18:W25)</f>
        <v>525222</v>
      </c>
      <c r="X26" s="417" t="n">
        <f aca="false">W26</f>
        <v>525222</v>
      </c>
      <c r="Y26" s="417"/>
    </row>
    <row r="27" customFormat="false" ht="12.75" hidden="false" customHeight="true" outlineLevel="0" collapsed="false">
      <c r="E27" s="539"/>
      <c r="F27" s="466"/>
      <c r="H27" s="467"/>
      <c r="I27" s="472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</row>
    <row r="28" customFormat="false" ht="12.75" hidden="false" customHeight="true" outlineLevel="0" collapsed="false">
      <c r="A28" s="294" t="s">
        <v>405</v>
      </c>
      <c r="B28" s="294" t="s">
        <v>406</v>
      </c>
      <c r="C28" s="294" t="s">
        <v>5</v>
      </c>
      <c r="D28" s="294" t="s">
        <v>332</v>
      </c>
      <c r="E28" s="374" t="n">
        <v>25067</v>
      </c>
      <c r="F28" s="440" t="s">
        <v>407</v>
      </c>
      <c r="H28" s="378" t="n">
        <v>37225</v>
      </c>
      <c r="I28" s="360" t="n">
        <v>15000</v>
      </c>
      <c r="J28" s="294" t="n">
        <v>0.03</v>
      </c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 t="n">
        <f aca="false">$I28*$J28*V$2</f>
        <v>13950</v>
      </c>
      <c r="W28" s="360" t="n">
        <f aca="false">SUM(K28:V28)</f>
        <v>13950</v>
      </c>
    </row>
    <row r="29" customFormat="false" ht="12.75" hidden="false" customHeight="true" outlineLevel="0" collapsed="false">
      <c r="E29" s="438"/>
      <c r="F29" s="443"/>
      <c r="H29" s="378"/>
      <c r="I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</row>
    <row r="30" customFormat="false" ht="12.75" hidden="false" customHeight="true" outlineLevel="0" collapsed="false">
      <c r="A30" s="294" t="s">
        <v>405</v>
      </c>
      <c r="B30" s="294" t="s">
        <v>415</v>
      </c>
      <c r="C30" s="294" t="s">
        <v>5</v>
      </c>
      <c r="D30" s="294" t="s">
        <v>332</v>
      </c>
      <c r="E30" s="438" t="n">
        <v>24926</v>
      </c>
      <c r="F30" s="443" t="s">
        <v>417</v>
      </c>
      <c r="H30" s="378" t="n">
        <v>36922</v>
      </c>
      <c r="I30" s="360" t="n">
        <v>21200</v>
      </c>
      <c r="J30" s="294" t="n">
        <v>0.01</v>
      </c>
      <c r="L30" s="360" t="n">
        <f aca="false">$I30*$J30*L$2</f>
        <v>5936</v>
      </c>
      <c r="M30" s="360" t="n">
        <f aca="false">$I30*$J30*M$2</f>
        <v>6572</v>
      </c>
      <c r="N30" s="360" t="n">
        <f aca="false">$I30*$J30*N$2</f>
        <v>6360</v>
      </c>
      <c r="O30" s="360" t="n">
        <f aca="false">$I30*$J30*O$2</f>
        <v>6572</v>
      </c>
      <c r="P30" s="360" t="n">
        <f aca="false">$I30*$J30*P$2</f>
        <v>6360</v>
      </c>
      <c r="Q30" s="360" t="n">
        <f aca="false">$I30*$J30*Q$2</f>
        <v>6572</v>
      </c>
      <c r="R30" s="360" t="n">
        <f aca="false">$I30*$J30*R$2</f>
        <v>6572</v>
      </c>
      <c r="S30" s="360" t="n">
        <f aca="false">$I30*$J30*S$2</f>
        <v>6360</v>
      </c>
      <c r="T30" s="360" t="n">
        <f aca="false">$I30*$J30*T$2</f>
        <v>6572</v>
      </c>
      <c r="U30" s="360" t="n">
        <f aca="false">$I30*$J30*U$2</f>
        <v>6360</v>
      </c>
      <c r="V30" s="360" t="n">
        <f aca="false">$I30*$J30*V$2</f>
        <v>6572</v>
      </c>
      <c r="W30" s="360" t="n">
        <f aca="false">SUM(K30:V30)</f>
        <v>70808</v>
      </c>
    </row>
    <row r="31" customFormat="false" ht="12.75" hidden="false" customHeight="true" outlineLevel="0" collapsed="false">
      <c r="E31" s="438"/>
      <c r="F31" s="443"/>
      <c r="H31" s="378"/>
      <c r="I31" s="360" t="n">
        <v>4000</v>
      </c>
      <c r="J31" s="294" t="n">
        <v>0.04</v>
      </c>
      <c r="L31" s="360" t="n">
        <f aca="false">$I31*$J31*L$2</f>
        <v>4480</v>
      </c>
      <c r="M31" s="360" t="n">
        <f aca="false">$I31*$J31*M$2</f>
        <v>4960</v>
      </c>
      <c r="N31" s="360" t="n">
        <f aca="false">$I31*$J31*N$2</f>
        <v>4800</v>
      </c>
      <c r="O31" s="360" t="n">
        <f aca="false">$I31*$J31*O$2</f>
        <v>4960</v>
      </c>
      <c r="P31" s="360" t="n">
        <f aca="false">$I31*$J31*P$2</f>
        <v>4800</v>
      </c>
      <c r="Q31" s="360" t="n">
        <f aca="false">$I31*$J31*Q$2</f>
        <v>4960</v>
      </c>
      <c r="R31" s="360" t="n">
        <f aca="false">$I31*$J31*R$2</f>
        <v>4960</v>
      </c>
      <c r="S31" s="360" t="n">
        <f aca="false">$I31*$J31*S$2</f>
        <v>4800</v>
      </c>
      <c r="T31" s="360" t="n">
        <f aca="false">$I31*$J31*T$2</f>
        <v>4960</v>
      </c>
      <c r="U31" s="360" t="n">
        <f aca="false">$I31*$J31*U$2</f>
        <v>4800</v>
      </c>
      <c r="V31" s="360" t="n">
        <f aca="false">$I31*$J31*V$2</f>
        <v>4960</v>
      </c>
      <c r="W31" s="360" t="n">
        <f aca="false">SUM(K31:V31)</f>
        <v>53440</v>
      </c>
    </row>
    <row r="32" customFormat="false" ht="12.75" hidden="false" customHeight="true" outlineLevel="0" collapsed="false">
      <c r="A32" s="383" t="s">
        <v>405</v>
      </c>
      <c r="B32" s="383" t="s">
        <v>406</v>
      </c>
      <c r="C32" s="383" t="s">
        <v>5</v>
      </c>
      <c r="D32" s="383" t="s">
        <v>332</v>
      </c>
      <c r="E32" s="558"/>
      <c r="F32" s="559" t="s">
        <v>347</v>
      </c>
      <c r="G32" s="560" t="n">
        <v>35704</v>
      </c>
      <c r="H32" s="560" t="n">
        <v>36891</v>
      </c>
      <c r="I32" s="561" t="n">
        <v>30000</v>
      </c>
      <c r="J32" s="383"/>
      <c r="K32" s="310" t="n">
        <f aca="false">$I32*$J32*K$2</f>
        <v>0</v>
      </c>
      <c r="L32" s="310" t="n">
        <f aca="false">$I32*$J32*L$2</f>
        <v>0</v>
      </c>
      <c r="M32" s="310" t="n">
        <f aca="false">$I32*$J32*M$2</f>
        <v>0</v>
      </c>
      <c r="N32" s="310" t="n">
        <f aca="false">$I32*$J32*N$2</f>
        <v>0</v>
      </c>
      <c r="O32" s="310" t="n">
        <f aca="false">$I32*$J32*O$2</f>
        <v>0</v>
      </c>
      <c r="P32" s="310" t="n">
        <f aca="false">$I32*$J32*P$2</f>
        <v>0</v>
      </c>
      <c r="Q32" s="310" t="n">
        <f aca="false">$I32*$J32*Q$2</f>
        <v>0</v>
      </c>
      <c r="R32" s="310" t="n">
        <f aca="false">$I32*$J32*R$2</f>
        <v>0</v>
      </c>
      <c r="S32" s="310" t="n">
        <f aca="false">$I32*$J32*S$2</f>
        <v>0</v>
      </c>
      <c r="T32" s="310" t="n">
        <f aca="false">$I32*$J32*T$2</f>
        <v>0</v>
      </c>
      <c r="U32" s="310" t="n">
        <f aca="false">$I32*$J32*U$2</f>
        <v>0</v>
      </c>
      <c r="V32" s="310" t="n">
        <f aca="false">$I32*$J32*V$2</f>
        <v>0</v>
      </c>
      <c r="W32" s="360" t="n">
        <f aca="false">SUM(K32:V32)</f>
        <v>0</v>
      </c>
    </row>
    <row r="33" customFormat="false" ht="12.75" hidden="false" customHeight="true" outlineLevel="0" collapsed="false">
      <c r="A33" s="294" t="s">
        <v>405</v>
      </c>
      <c r="B33" s="294" t="s">
        <v>406</v>
      </c>
      <c r="C33" s="294" t="s">
        <v>5</v>
      </c>
      <c r="D33" s="294" t="s">
        <v>332</v>
      </c>
      <c r="E33" s="539" t="n">
        <v>26661</v>
      </c>
      <c r="F33" s="466" t="s">
        <v>479</v>
      </c>
      <c r="G33" s="467" t="n">
        <v>36526</v>
      </c>
      <c r="H33" s="467" t="n">
        <v>36891</v>
      </c>
      <c r="I33" s="472" t="n">
        <v>18000</v>
      </c>
      <c r="J33" s="294" t="n">
        <v>0.03</v>
      </c>
      <c r="K33" s="360" t="n">
        <f aca="false">$I33*$J33*K$2</f>
        <v>16740</v>
      </c>
      <c r="L33" s="360" t="n">
        <f aca="false">$I33*$J33*L$2</f>
        <v>15120</v>
      </c>
      <c r="M33" s="360" t="n">
        <f aca="false">$I33*$J33*M$2</f>
        <v>16740</v>
      </c>
      <c r="N33" s="360" t="n">
        <f aca="false">$I33*$J33*N$2</f>
        <v>16200</v>
      </c>
      <c r="O33" s="360" t="n">
        <f aca="false">$I33*$J33*O$2</f>
        <v>16740</v>
      </c>
      <c r="P33" s="360" t="n">
        <f aca="false">$I33*$J33*P$2</f>
        <v>16200</v>
      </c>
      <c r="Q33" s="360" t="n">
        <f aca="false">$I33*$J33*Q$2</f>
        <v>16740</v>
      </c>
      <c r="R33" s="360" t="n">
        <f aca="false">$I33*$J33*R$2</f>
        <v>16740</v>
      </c>
      <c r="S33" s="360" t="n">
        <f aca="false">$I33*$J33*S$2</f>
        <v>16200</v>
      </c>
      <c r="T33" s="360" t="n">
        <f aca="false">$I33*$J33*T$2</f>
        <v>16740</v>
      </c>
      <c r="U33" s="360" t="n">
        <f aca="false">$I33*$J33*U$2</f>
        <v>16200</v>
      </c>
      <c r="V33" s="360" t="n">
        <f aca="false">$I33*$J33*V$2</f>
        <v>16740</v>
      </c>
      <c r="W33" s="360" t="n">
        <f aca="false">SUM(K33:V33)</f>
        <v>197100</v>
      </c>
    </row>
    <row r="34" customFormat="false" ht="12.75" hidden="false" customHeight="true" outlineLevel="0" collapsed="false">
      <c r="A34" s="383" t="s">
        <v>405</v>
      </c>
      <c r="B34" s="383" t="s">
        <v>415</v>
      </c>
      <c r="C34" s="383" t="s">
        <v>5</v>
      </c>
      <c r="D34" s="383" t="s">
        <v>332</v>
      </c>
      <c r="E34" s="558" t="s">
        <v>480</v>
      </c>
      <c r="F34" s="559" t="s">
        <v>372</v>
      </c>
      <c r="G34" s="560" t="n">
        <v>36526</v>
      </c>
      <c r="H34" s="560" t="n">
        <v>36891</v>
      </c>
      <c r="I34" s="561" t="n">
        <v>13500</v>
      </c>
      <c r="J34" s="383"/>
      <c r="K34" s="310" t="n">
        <f aca="false">$I34*$J34*K$2</f>
        <v>0</v>
      </c>
      <c r="L34" s="310" t="n">
        <f aca="false">$I34*$J34*L$2</f>
        <v>0</v>
      </c>
      <c r="M34" s="310" t="n">
        <f aca="false">$I34*$J34*M$2</f>
        <v>0</v>
      </c>
      <c r="N34" s="310" t="n">
        <f aca="false">$I34*$J34*N$2</f>
        <v>0</v>
      </c>
      <c r="O34" s="310" t="n">
        <f aca="false">$I34*$J34*O$2</f>
        <v>0</v>
      </c>
      <c r="P34" s="310" t="n">
        <f aca="false">$I34*$J34*P$2</f>
        <v>0</v>
      </c>
      <c r="Q34" s="310" t="n">
        <f aca="false">$I34*$J34*Q$2</f>
        <v>0</v>
      </c>
      <c r="R34" s="310" t="n">
        <f aca="false">$I34*$J34*R$2</f>
        <v>0</v>
      </c>
      <c r="S34" s="310" t="n">
        <f aca="false">$I34*$J34*S$2</f>
        <v>0</v>
      </c>
      <c r="T34" s="310" t="n">
        <f aca="false">$I34*$J34*T$2</f>
        <v>0</v>
      </c>
      <c r="U34" s="310" t="n">
        <f aca="false">$I34*$J34*U$2</f>
        <v>0</v>
      </c>
      <c r="V34" s="310" t="n">
        <f aca="false">$I34*$J34*V$2</f>
        <v>0</v>
      </c>
      <c r="W34" s="360" t="n">
        <f aca="false">SUM(K34:V34)</f>
        <v>0</v>
      </c>
    </row>
    <row r="35" customFormat="false" ht="12.75" hidden="false" customHeight="true" outlineLevel="0" collapsed="false">
      <c r="A35" s="383" t="s">
        <v>405</v>
      </c>
      <c r="B35" s="383" t="s">
        <v>415</v>
      </c>
      <c r="C35" s="383" t="s">
        <v>5</v>
      </c>
      <c r="D35" s="383" t="s">
        <v>332</v>
      </c>
      <c r="E35" s="558" t="n">
        <v>27047</v>
      </c>
      <c r="F35" s="559" t="s">
        <v>422</v>
      </c>
      <c r="G35" s="560" t="n">
        <v>36557</v>
      </c>
      <c r="H35" s="560" t="n">
        <v>36891</v>
      </c>
      <c r="I35" s="561" t="n">
        <v>125000</v>
      </c>
      <c r="J35" s="383"/>
      <c r="K35" s="310" t="n">
        <f aca="false">$I35*$J35*K$2</f>
        <v>0</v>
      </c>
      <c r="L35" s="310" t="n">
        <f aca="false">$I35*$J35*L$2</f>
        <v>0</v>
      </c>
      <c r="M35" s="310" t="n">
        <f aca="false">$I35*$J35*M$2</f>
        <v>0</v>
      </c>
      <c r="N35" s="310" t="n">
        <f aca="false">$I35*$J35*N$2</f>
        <v>0</v>
      </c>
      <c r="O35" s="310" t="n">
        <f aca="false">$I35*$J35*O$2</f>
        <v>0</v>
      </c>
      <c r="P35" s="310" t="n">
        <f aca="false">$I35*$J35*P$2</f>
        <v>0</v>
      </c>
      <c r="Q35" s="310" t="n">
        <f aca="false">$I35*$J35*Q$2</f>
        <v>0</v>
      </c>
      <c r="R35" s="310" t="n">
        <f aca="false">$I35*$J35*R$2</f>
        <v>0</v>
      </c>
      <c r="S35" s="310" t="n">
        <f aca="false">$I35*$J35*S$2</f>
        <v>0</v>
      </c>
      <c r="T35" s="310" t="n">
        <f aca="false">$I35*$J35*T$2</f>
        <v>0</v>
      </c>
      <c r="U35" s="310" t="n">
        <f aca="false">$I35*$J35*U$2</f>
        <v>0</v>
      </c>
      <c r="V35" s="310" t="n">
        <f aca="false">$I35*$J35*V$2</f>
        <v>0</v>
      </c>
      <c r="W35" s="360" t="n">
        <f aca="false">SUM(K35:V35)</f>
        <v>0</v>
      </c>
    </row>
    <row r="36" customFormat="false" ht="12.75" hidden="false" customHeight="true" outlineLevel="0" collapsed="false">
      <c r="A36" s="294" t="s">
        <v>405</v>
      </c>
      <c r="B36" s="294" t="s">
        <v>415</v>
      </c>
      <c r="C36" s="294" t="s">
        <v>5</v>
      </c>
      <c r="D36" s="294" t="s">
        <v>332</v>
      </c>
      <c r="E36" s="539"/>
      <c r="F36" s="466" t="s">
        <v>501</v>
      </c>
      <c r="G36" s="467"/>
      <c r="H36" s="467"/>
      <c r="I36" s="472" t="n">
        <v>0</v>
      </c>
      <c r="J36" s="294" t="n">
        <v>0.01</v>
      </c>
      <c r="K36" s="360" t="n">
        <f aca="false">$I36*$J36*K$2</f>
        <v>0</v>
      </c>
      <c r="L36" s="360" t="n">
        <f aca="false">$I36*$J36*L$2</f>
        <v>0</v>
      </c>
      <c r="M36" s="360" t="n">
        <f aca="false">$I36*$J36*M$2</f>
        <v>0</v>
      </c>
      <c r="N36" s="360" t="n">
        <f aca="false">$I36*$J36*N$2</f>
        <v>0</v>
      </c>
      <c r="O36" s="360" t="n">
        <f aca="false">$I36*$J36*O$2</f>
        <v>0</v>
      </c>
      <c r="P36" s="360" t="n">
        <f aca="false">$I36*$J36*P$2</f>
        <v>0</v>
      </c>
      <c r="Q36" s="360" t="n">
        <f aca="false">$I36*$J36*Q$2</f>
        <v>0</v>
      </c>
      <c r="R36" s="360" t="n">
        <f aca="false">$I36*$J36*R$2</f>
        <v>0</v>
      </c>
      <c r="S36" s="360" t="n">
        <f aca="false">$I36*$J36*S$2</f>
        <v>0</v>
      </c>
      <c r="T36" s="360" t="n">
        <f aca="false">$I36*$J36*T$2</f>
        <v>0</v>
      </c>
      <c r="U36" s="360" t="n">
        <f aca="false">$I36*$J36*U$2</f>
        <v>0</v>
      </c>
      <c r="V36" s="360" t="n">
        <f aca="false">$I36*$J36*V$2</f>
        <v>0</v>
      </c>
      <c r="W36" s="360" t="n">
        <f aca="false">SUM(K36:V36)</f>
        <v>0</v>
      </c>
    </row>
    <row r="37" customFormat="false" ht="12.75" hidden="false" customHeight="true" outlineLevel="0" collapsed="false">
      <c r="A37" s="294" t="s">
        <v>405</v>
      </c>
      <c r="B37" s="294" t="s">
        <v>415</v>
      </c>
      <c r="C37" s="294" t="s">
        <v>5</v>
      </c>
      <c r="D37" s="294" t="s">
        <v>332</v>
      </c>
      <c r="E37" s="539"/>
      <c r="F37" s="466"/>
      <c r="G37" s="467"/>
      <c r="H37" s="467"/>
      <c r="I37" s="540"/>
      <c r="K37" s="368" t="n">
        <f aca="false">$I37*$J37*K$2</f>
        <v>0</v>
      </c>
      <c r="L37" s="368" t="n">
        <f aca="false">$I37*$J37*L$2</f>
        <v>0</v>
      </c>
      <c r="M37" s="368" t="n">
        <f aca="false">$I37*$J37*M$2</f>
        <v>0</v>
      </c>
      <c r="N37" s="368" t="n">
        <f aca="false">$I37*$J37*N$2</f>
        <v>0</v>
      </c>
      <c r="O37" s="368" t="n">
        <f aca="false">$I37*$J37*O$2</f>
        <v>0</v>
      </c>
      <c r="P37" s="368" t="n">
        <f aca="false">$I37*$J37*P$2</f>
        <v>0</v>
      </c>
      <c r="Q37" s="368" t="n">
        <f aca="false">$I37*$J37*Q$2</f>
        <v>0</v>
      </c>
      <c r="R37" s="368" t="n">
        <f aca="false">$I37*$J37*R$2</f>
        <v>0</v>
      </c>
      <c r="S37" s="368" t="n">
        <f aca="false">$I37*$J37*S$2</f>
        <v>0</v>
      </c>
      <c r="T37" s="368" t="n">
        <f aca="false">$I37*$J37*T$2</f>
        <v>0</v>
      </c>
      <c r="U37" s="368" t="n">
        <f aca="false">$I37*$J37*U$2</f>
        <v>0</v>
      </c>
      <c r="V37" s="368" t="n">
        <f aca="false">$I37*$J37*V$2</f>
        <v>0</v>
      </c>
      <c r="W37" s="368" t="n">
        <f aca="false">SUM(K37:V37)</f>
        <v>0</v>
      </c>
    </row>
    <row r="38" customFormat="false" ht="12.75" hidden="false" customHeight="true" outlineLevel="0" collapsed="false">
      <c r="I38" s="417" t="n">
        <f aca="false">SUM(I28:I37)</f>
        <v>226700</v>
      </c>
      <c r="K38" s="417" t="n">
        <f aca="false">SUM(K28:K37)</f>
        <v>16740</v>
      </c>
      <c r="L38" s="417" t="n">
        <f aca="false">SUM(L28:L37)</f>
        <v>25536</v>
      </c>
      <c r="M38" s="417" t="n">
        <f aca="false">SUM(M28:M37)</f>
        <v>28272</v>
      </c>
      <c r="N38" s="417" t="n">
        <f aca="false">SUM(N28:N37)</f>
        <v>27360</v>
      </c>
      <c r="O38" s="417" t="n">
        <f aca="false">SUM(O28:O37)</f>
        <v>28272</v>
      </c>
      <c r="P38" s="417" t="n">
        <f aca="false">SUM(P28:P37)</f>
        <v>27360</v>
      </c>
      <c r="Q38" s="417" t="n">
        <f aca="false">SUM(Q28:Q37)</f>
        <v>28272</v>
      </c>
      <c r="R38" s="417" t="n">
        <f aca="false">SUM(R28:R37)</f>
        <v>28272</v>
      </c>
      <c r="S38" s="417" t="n">
        <f aca="false">SUM(S28:S37)</f>
        <v>27360</v>
      </c>
      <c r="T38" s="417" t="n">
        <f aca="false">SUM(T28:T37)</f>
        <v>28272</v>
      </c>
      <c r="U38" s="417" t="n">
        <f aca="false">SUM(U28:U37)</f>
        <v>27360</v>
      </c>
      <c r="V38" s="417" t="n">
        <f aca="false">SUM(V28:V37)</f>
        <v>42222</v>
      </c>
      <c r="W38" s="417" t="n">
        <f aca="false">SUM(W28:W37)</f>
        <v>335298</v>
      </c>
      <c r="X38" s="417" t="n">
        <f aca="false">W38</f>
        <v>335298</v>
      </c>
    </row>
    <row r="39" customFormat="false" ht="12.75" hidden="false" customHeight="true" outlineLevel="0" collapsed="false">
      <c r="I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</row>
    <row r="40" customFormat="false" ht="12.75" hidden="false" customHeight="true" outlineLevel="0" collapsed="false">
      <c r="I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</row>
    <row r="41" customFormat="false" ht="12.75" hidden="false" customHeight="true" outlineLevel="0" collapsed="false">
      <c r="A41" s="294" t="s">
        <v>231</v>
      </c>
      <c r="B41" s="294" t="s">
        <v>425</v>
      </c>
      <c r="C41" s="294" t="s">
        <v>5</v>
      </c>
      <c r="D41" s="294" t="s">
        <v>367</v>
      </c>
      <c r="I41" s="417"/>
      <c r="K41" s="417" t="n">
        <v>35200</v>
      </c>
      <c r="L41" s="417" t="n">
        <v>23900</v>
      </c>
      <c r="M41" s="417" t="n">
        <v>26400</v>
      </c>
      <c r="N41" s="417" t="n">
        <v>23900</v>
      </c>
      <c r="O41" s="417" t="n">
        <v>20000</v>
      </c>
      <c r="P41" s="417" t="n">
        <v>23900</v>
      </c>
      <c r="Q41" s="417" t="n">
        <v>22800</v>
      </c>
      <c r="R41" s="417" t="n">
        <v>12200</v>
      </c>
      <c r="S41" s="417" t="n">
        <v>20200</v>
      </c>
      <c r="T41" s="417" t="n">
        <v>10600</v>
      </c>
      <c r="U41" s="417" t="n">
        <v>13800</v>
      </c>
      <c r="V41" s="294" t="n">
        <v>27300</v>
      </c>
    </row>
    <row r="42" customFormat="false" ht="12.75" hidden="false" customHeight="true" outlineLevel="0" collapsed="false">
      <c r="A42" s="294" t="s">
        <v>231</v>
      </c>
      <c r="B42" s="294" t="s">
        <v>425</v>
      </c>
      <c r="C42" s="294" t="s">
        <v>225</v>
      </c>
      <c r="D42" s="294" t="s">
        <v>367</v>
      </c>
      <c r="I42" s="417"/>
      <c r="K42" s="563" t="n">
        <v>0.0529</v>
      </c>
      <c r="L42" s="563" t="n">
        <v>0.0376</v>
      </c>
      <c r="M42" s="563" t="n">
        <v>0.0502</v>
      </c>
      <c r="N42" s="563" t="n">
        <v>0.038</v>
      </c>
      <c r="O42" s="563" t="n">
        <v>0.0443</v>
      </c>
      <c r="P42" s="563" t="n">
        <v>0.0478</v>
      </c>
      <c r="Q42" s="563" t="n">
        <v>0.0603</v>
      </c>
      <c r="R42" s="563" t="n">
        <v>0.0323</v>
      </c>
      <c r="S42" s="563" t="n">
        <v>0.04</v>
      </c>
      <c r="T42" s="563" t="n">
        <v>0.0312</v>
      </c>
      <c r="U42" s="563" t="n">
        <v>0.0427</v>
      </c>
      <c r="V42" s="563" t="n">
        <v>0.0491</v>
      </c>
    </row>
    <row r="43" customFormat="false" ht="12.75" hidden="false" customHeight="true" outlineLevel="0" collapsed="false">
      <c r="A43" s="294" t="s">
        <v>231</v>
      </c>
      <c r="B43" s="294" t="s">
        <v>425</v>
      </c>
      <c r="C43" s="294" t="s">
        <v>6</v>
      </c>
      <c r="D43" s="294" t="s">
        <v>367</v>
      </c>
      <c r="I43" s="417"/>
      <c r="K43" s="417" t="n">
        <v>57724.48</v>
      </c>
      <c r="L43" s="417" t="n">
        <v>25161.92</v>
      </c>
      <c r="M43" s="417" t="n">
        <v>41083.68</v>
      </c>
      <c r="N43" s="417" t="n">
        <v>27246</v>
      </c>
      <c r="O43" s="417" t="n">
        <v>27466</v>
      </c>
      <c r="P43" s="417" t="n">
        <v>34272.6</v>
      </c>
      <c r="Q43" s="417" t="n">
        <v>42620.04</v>
      </c>
      <c r="R43" s="417" t="n">
        <v>12215.86</v>
      </c>
      <c r="S43" s="417" t="n">
        <v>24240</v>
      </c>
      <c r="T43" s="417" t="n">
        <v>10252.32</v>
      </c>
      <c r="U43" s="417" t="n">
        <v>17677.8</v>
      </c>
      <c r="V43" s="294" t="n">
        <v>41553.33</v>
      </c>
      <c r="W43" s="417" t="n">
        <f aca="false">SUM(K43:V43)</f>
        <v>361514.03</v>
      </c>
      <c r="X43" s="417" t="n">
        <f aca="false">W43</f>
        <v>361514.03</v>
      </c>
    </row>
    <row r="44" customFormat="false" ht="12.75" hidden="false" customHeight="true" outlineLevel="0" collapsed="false">
      <c r="I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</row>
    <row r="45" customFormat="false" ht="12.75" hidden="false" customHeight="true" outlineLevel="0" collapsed="false">
      <c r="A45" s="294" t="s">
        <v>231</v>
      </c>
      <c r="B45" s="294" t="s">
        <v>447</v>
      </c>
      <c r="C45" s="294" t="s">
        <v>5</v>
      </c>
      <c r="D45" s="294" t="s">
        <v>367</v>
      </c>
      <c r="I45" s="417"/>
      <c r="K45" s="417" t="n">
        <v>1900</v>
      </c>
      <c r="L45" s="417" t="n">
        <v>1800</v>
      </c>
      <c r="M45" s="417" t="n">
        <v>2500</v>
      </c>
      <c r="N45" s="417" t="n">
        <v>8000</v>
      </c>
      <c r="O45" s="417" t="n">
        <v>7000</v>
      </c>
      <c r="P45" s="417" t="n">
        <v>20600</v>
      </c>
      <c r="Q45" s="417" t="n">
        <v>1900</v>
      </c>
      <c r="R45" s="417" t="n">
        <v>1800</v>
      </c>
      <c r="S45" s="417" t="n">
        <v>2500</v>
      </c>
      <c r="T45" s="417" t="n">
        <v>8000</v>
      </c>
      <c r="U45" s="417" t="n">
        <v>7000</v>
      </c>
      <c r="V45" s="294" t="n">
        <v>20600</v>
      </c>
    </row>
    <row r="46" customFormat="false" ht="12.75" hidden="false" customHeight="true" outlineLevel="0" collapsed="false">
      <c r="C46" s="294" t="s">
        <v>225</v>
      </c>
      <c r="D46" s="294" t="s">
        <v>367</v>
      </c>
      <c r="I46" s="417"/>
      <c r="K46" s="563" t="n">
        <v>0.2304</v>
      </c>
      <c r="L46" s="563" t="n">
        <v>0.0498</v>
      </c>
      <c r="M46" s="563" t="n">
        <v>0.05</v>
      </c>
      <c r="N46" s="563" t="n">
        <v>0.05</v>
      </c>
      <c r="O46" s="563" t="n">
        <v>0.0516</v>
      </c>
      <c r="P46" s="563" t="n">
        <v>0.0533</v>
      </c>
      <c r="Q46" s="563" t="n">
        <v>0.05</v>
      </c>
      <c r="R46" s="563" t="n">
        <v>0.0498</v>
      </c>
      <c r="S46" s="563" t="n">
        <v>0.05</v>
      </c>
      <c r="T46" s="563" t="n">
        <v>0.05</v>
      </c>
      <c r="U46" s="563" t="n">
        <v>0.0516</v>
      </c>
      <c r="V46" s="294" t="n">
        <v>0.0533</v>
      </c>
    </row>
    <row r="47" customFormat="false" ht="12.75" hidden="false" customHeight="true" outlineLevel="0" collapsed="false">
      <c r="C47" s="294" t="s">
        <v>6</v>
      </c>
      <c r="D47" s="294" t="s">
        <v>367</v>
      </c>
      <c r="K47" s="294" t="n">
        <v>13570.56</v>
      </c>
      <c r="L47" s="294" t="n">
        <v>2509.92</v>
      </c>
      <c r="M47" s="294" t="n">
        <v>3875</v>
      </c>
      <c r="N47" s="294" t="n">
        <v>12000</v>
      </c>
      <c r="O47" s="294" t="n">
        <v>11197.2</v>
      </c>
      <c r="P47" s="294" t="n">
        <v>32939.4</v>
      </c>
      <c r="Q47" s="294" t="n">
        <v>2945</v>
      </c>
      <c r="R47" s="294" t="n">
        <v>2778.84</v>
      </c>
      <c r="S47" s="294" t="n">
        <v>3750</v>
      </c>
      <c r="T47" s="360" t="n">
        <v>12400</v>
      </c>
      <c r="U47" s="360" t="n">
        <v>10836</v>
      </c>
      <c r="V47" s="417" t="n">
        <v>34037.38</v>
      </c>
      <c r="W47" s="294" t="n">
        <f aca="false">SUM(K47:V47)</f>
        <v>142839.3</v>
      </c>
      <c r="X47" s="360" t="n">
        <f aca="false">W47</f>
        <v>142839.3</v>
      </c>
    </row>
    <row r="48" customFormat="false" ht="12.75" hidden="false" customHeight="true" outlineLevel="0" collapsed="false"/>
    <row r="49" customFormat="false" ht="12.75" hidden="false" customHeight="true" outlineLevel="0" collapsed="false">
      <c r="E49" s="374"/>
      <c r="H49" s="378"/>
      <c r="I49" s="360"/>
      <c r="X49" s="294" t="s">
        <v>505</v>
      </c>
    </row>
    <row r="50" customFormat="false" ht="12.75" hidden="false" customHeight="true" outlineLevel="0" collapsed="false">
      <c r="E50" s="374"/>
      <c r="G50" s="375"/>
      <c r="H50" s="378"/>
      <c r="I50" s="360"/>
      <c r="X50" s="360" t="n">
        <f aca="false">SUM(X11:X49)</f>
        <v>1631273.33</v>
      </c>
    </row>
    <row r="51" customFormat="false" ht="12.75" hidden="false" customHeight="true" outlineLevel="0" collapsed="false">
      <c r="E51" s="359"/>
      <c r="G51" s="375"/>
      <c r="H51" s="378"/>
      <c r="I51" s="360"/>
    </row>
    <row r="52" customFormat="false" ht="12.75" hidden="false" customHeight="true" outlineLevel="0" collapsed="false">
      <c r="E52" s="359"/>
      <c r="H52" s="378"/>
      <c r="I52" s="360"/>
      <c r="V52" s="294" t="s">
        <v>35</v>
      </c>
      <c r="W52" s="294" t="s">
        <v>506</v>
      </c>
      <c r="X52" s="360" t="n">
        <v>136938</v>
      </c>
    </row>
    <row r="53" customFormat="false" ht="12.75" hidden="false" customHeight="true" outlineLevel="0" collapsed="false">
      <c r="E53" s="359"/>
      <c r="H53" s="378"/>
      <c r="I53" s="360"/>
      <c r="K53" s="541"/>
      <c r="L53" s="541"/>
      <c r="M53" s="541"/>
      <c r="N53" s="541"/>
      <c r="O53" s="541"/>
      <c r="P53" s="541"/>
      <c r="Q53" s="541"/>
      <c r="R53" s="541"/>
      <c r="S53" s="541"/>
      <c r="T53" s="541"/>
      <c r="U53" s="541"/>
      <c r="V53" s="541" t="s">
        <v>507</v>
      </c>
      <c r="W53" s="294" t="s">
        <v>508</v>
      </c>
      <c r="X53" s="360" t="n">
        <v>0</v>
      </c>
    </row>
    <row r="54" customFormat="false" ht="12.75" hidden="false" customHeight="true" outlineLevel="0" collapsed="false">
      <c r="E54" s="359"/>
      <c r="H54" s="359"/>
      <c r="I54" s="360"/>
      <c r="K54" s="542"/>
      <c r="L54" s="543"/>
      <c r="M54" s="543"/>
      <c r="N54" s="543"/>
      <c r="O54" s="543"/>
      <c r="P54" s="543"/>
      <c r="Q54" s="543"/>
      <c r="R54" s="543"/>
      <c r="S54" s="543"/>
      <c r="T54" s="543"/>
      <c r="U54" s="543"/>
      <c r="V54" s="543"/>
      <c r="X54" s="360"/>
    </row>
    <row r="55" customFormat="false" ht="12.75" hidden="false" customHeight="true" outlineLevel="0" collapsed="false">
      <c r="E55" s="359"/>
      <c r="H55" s="359"/>
      <c r="I55" s="360"/>
      <c r="K55" s="541"/>
      <c r="L55" s="544"/>
      <c r="M55" s="544"/>
      <c r="N55" s="544"/>
      <c r="O55" s="544"/>
      <c r="P55" s="544"/>
      <c r="Q55" s="544"/>
      <c r="R55" s="544"/>
      <c r="S55" s="544"/>
      <c r="T55" s="544"/>
      <c r="U55" s="544"/>
      <c r="V55" s="544"/>
      <c r="W55" s="544"/>
      <c r="X55" s="544"/>
    </row>
    <row r="56" customFormat="false" ht="12.75" hidden="false" customHeight="true" outlineLevel="0" collapsed="false">
      <c r="E56" s="374"/>
      <c r="H56" s="378"/>
      <c r="I56" s="360"/>
      <c r="K56" s="541"/>
      <c r="L56" s="545"/>
      <c r="M56" s="545"/>
      <c r="N56" s="545"/>
      <c r="O56" s="545"/>
      <c r="P56" s="545"/>
      <c r="Q56" s="545"/>
      <c r="R56" s="545"/>
      <c r="S56" s="545"/>
      <c r="T56" s="545"/>
      <c r="U56" s="545"/>
      <c r="V56" s="545"/>
      <c r="W56" s="545"/>
      <c r="X56" s="294" t="s">
        <v>505</v>
      </c>
    </row>
    <row r="57" customFormat="false" ht="12.75" hidden="false" customHeight="true" outlineLevel="0" collapsed="false">
      <c r="E57" s="374"/>
      <c r="G57" s="375"/>
      <c r="H57" s="378"/>
      <c r="I57" s="360"/>
      <c r="K57" s="541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 t="n">
        <f aca="false">SUM(X50:X56)</f>
        <v>1768211.33</v>
      </c>
    </row>
    <row r="58" customFormat="false" ht="12.75" hidden="false" customHeight="true" outlineLevel="0" collapsed="false">
      <c r="E58" s="359"/>
      <c r="G58" s="375"/>
      <c r="H58" s="378"/>
      <c r="I58" s="360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64" t="s">
        <v>509</v>
      </c>
      <c r="W58" s="565" t="n">
        <f aca="false">X43+X47+X52</f>
        <v>641291.33</v>
      </c>
      <c r="X58" s="545"/>
    </row>
    <row r="59" customFormat="false" ht="12.75" hidden="false" customHeight="true" outlineLevel="0" collapsed="false">
      <c r="E59" s="359"/>
      <c r="G59" s="375"/>
      <c r="H59" s="378"/>
      <c r="I59" s="360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545"/>
    </row>
    <row r="60" customFormat="false" ht="12.75" hidden="false" customHeight="true" outlineLevel="0" collapsed="false">
      <c r="E60" s="359"/>
      <c r="G60" s="375"/>
      <c r="H60" s="378"/>
      <c r="I60" s="360"/>
      <c r="K60" s="541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545"/>
    </row>
    <row r="61" customFormat="false" ht="12.75" hidden="false" customHeight="true" outlineLevel="0" collapsed="false">
      <c r="E61" s="359"/>
      <c r="H61" s="378"/>
      <c r="I61" s="360"/>
      <c r="K61" s="541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45"/>
      <c r="W61" s="545"/>
      <c r="X61" s="545"/>
    </row>
    <row r="62" customFormat="false" ht="12.75" hidden="false" customHeight="true" outlineLevel="0" collapsed="false">
      <c r="E62" s="359"/>
      <c r="H62" s="378"/>
      <c r="I62" s="360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5"/>
      <c r="X62" s="545"/>
    </row>
    <row r="63" customFormat="false" ht="12.75" hidden="false" customHeight="true" outlineLevel="0" collapsed="false">
      <c r="E63" s="359"/>
      <c r="H63" s="378"/>
      <c r="I63" s="360"/>
      <c r="K63" s="545"/>
      <c r="L63" s="545"/>
      <c r="M63" s="545"/>
      <c r="N63" s="545"/>
      <c r="O63" s="545"/>
      <c r="P63" s="545"/>
      <c r="Q63" s="545"/>
      <c r="R63" s="545"/>
      <c r="S63" s="545"/>
      <c r="T63" s="545"/>
      <c r="U63" s="545"/>
      <c r="V63" s="545"/>
      <c r="W63" s="545"/>
      <c r="X63" s="545"/>
    </row>
    <row r="64" customFormat="false" ht="12.75" hidden="false" customHeight="true" outlineLevel="0" collapsed="false">
      <c r="E64" s="359"/>
      <c r="H64" s="378"/>
      <c r="I64" s="360"/>
      <c r="K64" s="541"/>
      <c r="L64" s="545"/>
      <c r="M64" s="545"/>
      <c r="N64" s="545"/>
      <c r="O64" s="545"/>
      <c r="P64" s="545"/>
      <c r="Q64" s="545"/>
      <c r="R64" s="545"/>
      <c r="S64" s="545"/>
      <c r="T64" s="545"/>
      <c r="U64" s="545"/>
      <c r="V64" s="545"/>
      <c r="W64" s="545"/>
      <c r="X64" s="545"/>
    </row>
    <row r="65" customFormat="false" ht="12.75" hidden="false" customHeight="true" outlineLevel="0" collapsed="false">
      <c r="E65" s="538"/>
      <c r="F65" s="462"/>
      <c r="H65" s="463"/>
      <c r="I65" s="464"/>
      <c r="K65" s="541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545"/>
    </row>
    <row r="66" customFormat="false" ht="12.75" hidden="false" customHeight="true" outlineLevel="0" collapsed="false">
      <c r="E66" s="538"/>
      <c r="F66" s="462"/>
      <c r="H66" s="463"/>
      <c r="I66" s="464"/>
      <c r="K66" s="541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5"/>
      <c r="X66" s="545"/>
    </row>
    <row r="67" customFormat="false" ht="12.75" hidden="false" customHeight="true" outlineLevel="0" collapsed="false">
      <c r="E67" s="539"/>
      <c r="F67" s="466"/>
      <c r="H67" s="467"/>
      <c r="I67" s="468"/>
      <c r="K67" s="541"/>
      <c r="L67" s="545"/>
      <c r="M67" s="545"/>
      <c r="N67" s="545"/>
      <c r="O67" s="545"/>
      <c r="P67" s="545"/>
      <c r="Q67" s="545"/>
      <c r="R67" s="545"/>
      <c r="S67" s="545"/>
      <c r="T67" s="545"/>
      <c r="U67" s="545"/>
      <c r="V67" s="545"/>
      <c r="W67" s="545"/>
      <c r="X67" s="545"/>
    </row>
    <row r="68" customFormat="false" ht="12.75" hidden="false" customHeight="true" outlineLevel="0" collapsed="false">
      <c r="E68" s="539"/>
      <c r="F68" s="466"/>
      <c r="H68" s="481"/>
      <c r="I68" s="468"/>
      <c r="K68" s="541"/>
      <c r="L68" s="547"/>
      <c r="M68" s="547"/>
      <c r="N68" s="547"/>
      <c r="O68" s="545"/>
      <c r="P68" s="545"/>
      <c r="Q68" s="545"/>
      <c r="R68" s="545"/>
      <c r="S68" s="545"/>
      <c r="T68" s="545"/>
      <c r="U68" s="545"/>
      <c r="V68" s="545"/>
      <c r="W68" s="547"/>
      <c r="X68" s="545"/>
    </row>
    <row r="69" customFormat="false" ht="12.75" hidden="false" customHeight="true" outlineLevel="0" collapsed="false">
      <c r="E69" s="539"/>
      <c r="F69" s="466"/>
      <c r="H69" s="467"/>
      <c r="I69" s="468"/>
      <c r="K69" s="541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7"/>
      <c r="X69" s="545"/>
    </row>
    <row r="70" customFormat="false" ht="12.75" hidden="false" customHeight="true" outlineLevel="0" collapsed="false">
      <c r="E70" s="539"/>
      <c r="F70" s="466"/>
      <c r="H70" s="467"/>
      <c r="I70" s="472"/>
      <c r="K70" s="541"/>
      <c r="L70" s="547"/>
      <c r="M70" s="547"/>
      <c r="N70" s="547"/>
      <c r="O70" s="547"/>
      <c r="P70" s="547"/>
      <c r="Q70" s="547"/>
      <c r="R70" s="547"/>
      <c r="S70" s="547"/>
      <c r="T70" s="547"/>
      <c r="U70" s="545"/>
      <c r="V70" s="545"/>
      <c r="W70" s="547"/>
      <c r="X70" s="545"/>
    </row>
    <row r="71" customFormat="false" ht="12.75" hidden="false" customHeight="true" outlineLevel="0" collapsed="false">
      <c r="E71" s="539"/>
      <c r="F71" s="466"/>
      <c r="H71" s="467"/>
      <c r="I71" s="540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7"/>
      <c r="X71" s="545"/>
    </row>
    <row r="72" customFormat="false" ht="12.75" hidden="false" customHeight="true" outlineLevel="0" collapsed="false">
      <c r="E72" s="539"/>
      <c r="F72" s="466"/>
      <c r="H72" s="467"/>
      <c r="I72" s="472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547"/>
      <c r="X72" s="545"/>
    </row>
    <row r="73" customFormat="false" ht="12.75" hidden="false" customHeight="true" outlineLevel="0" collapsed="false">
      <c r="E73" s="539"/>
      <c r="F73" s="466"/>
      <c r="H73" s="467"/>
      <c r="I73" s="472"/>
      <c r="K73" s="541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5"/>
    </row>
    <row r="74" customFormat="false" ht="12.75" hidden="false" customHeight="true" outlineLevel="0" collapsed="false">
      <c r="E74" s="374"/>
      <c r="F74" s="440"/>
      <c r="H74" s="378"/>
      <c r="I74" s="360"/>
      <c r="K74" s="541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5"/>
      <c r="W74" s="547"/>
      <c r="X74" s="545"/>
    </row>
    <row r="75" customFormat="false" ht="12.75" hidden="false" customHeight="true" outlineLevel="0" collapsed="false">
      <c r="E75" s="438"/>
      <c r="F75" s="443"/>
      <c r="H75" s="378"/>
      <c r="I75" s="360"/>
      <c r="K75" s="541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47"/>
      <c r="X75" s="545"/>
    </row>
    <row r="76" customFormat="false" ht="12.75" hidden="false" customHeight="true" outlineLevel="0" collapsed="false">
      <c r="E76" s="438"/>
      <c r="F76" s="443"/>
      <c r="H76" s="378"/>
      <c r="I76" s="360"/>
      <c r="K76" s="541"/>
      <c r="L76" s="545"/>
      <c r="M76" s="545"/>
      <c r="N76" s="545"/>
      <c r="O76" s="545"/>
      <c r="P76" s="545"/>
      <c r="Q76" s="545"/>
      <c r="R76" s="545"/>
      <c r="S76" s="545"/>
      <c r="T76" s="545"/>
      <c r="U76" s="545"/>
      <c r="V76" s="545"/>
      <c r="W76" s="545"/>
      <c r="X76" s="545"/>
    </row>
    <row r="77" customFormat="false" ht="12.75" hidden="false" customHeight="true" outlineLevel="0" collapsed="false">
      <c r="E77" s="539"/>
      <c r="F77" s="466"/>
      <c r="G77" s="467"/>
      <c r="H77" s="467"/>
      <c r="I77" s="472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  <c r="W77" s="545"/>
      <c r="X77" s="545"/>
    </row>
    <row r="78" customFormat="false" ht="12.75" hidden="false" customHeight="true" outlineLevel="0" collapsed="false">
      <c r="E78" s="539"/>
      <c r="F78" s="466"/>
      <c r="G78" s="467"/>
      <c r="H78" s="467"/>
      <c r="I78" s="472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  <c r="W78" s="545"/>
      <c r="X78" s="545"/>
    </row>
    <row r="79" customFormat="false" ht="12.75" hidden="false" customHeight="true" outlineLevel="0" collapsed="false">
      <c r="E79" s="539"/>
      <c r="F79" s="466"/>
      <c r="G79" s="467"/>
      <c r="H79" s="467"/>
      <c r="I79" s="472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  <c r="W79" s="545"/>
      <c r="X79" s="545"/>
    </row>
    <row r="80" customFormat="false" ht="12.75" hidden="false" customHeight="true" outlineLevel="0" collapsed="false">
      <c r="E80" s="539"/>
      <c r="F80" s="466"/>
      <c r="G80" s="467"/>
      <c r="H80" s="467"/>
      <c r="I80" s="472"/>
      <c r="K80" s="545"/>
      <c r="L80" s="545"/>
      <c r="M80" s="545"/>
      <c r="N80" s="545"/>
      <c r="O80" s="545"/>
      <c r="P80" s="545"/>
      <c r="Q80" s="545"/>
      <c r="R80" s="545"/>
      <c r="S80" s="545"/>
      <c r="T80" s="545"/>
      <c r="U80" s="545"/>
      <c r="V80" s="545"/>
      <c r="W80" s="545"/>
      <c r="X80" s="545"/>
    </row>
    <row r="81" customFormat="false" ht="12.75" hidden="false" customHeight="true" outlineLevel="0" collapsed="false">
      <c r="E81" s="539"/>
      <c r="F81" s="466"/>
      <c r="G81" s="467"/>
      <c r="H81" s="467"/>
      <c r="I81" s="472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5"/>
      <c r="X81" s="545"/>
    </row>
    <row r="82" customFormat="false" ht="12.75" hidden="false" customHeight="true" outlineLevel="0" collapsed="false">
      <c r="K82" s="360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545"/>
      <c r="X82" s="545"/>
    </row>
    <row r="83" customFormat="false" ht="12.75" hidden="false" customHeight="true" outlineLevel="0" collapsed="false">
      <c r="K83" s="541"/>
      <c r="L83" s="545"/>
      <c r="M83" s="545"/>
      <c r="N83" s="545"/>
      <c r="O83" s="545"/>
      <c r="P83" s="545"/>
      <c r="Q83" s="545"/>
      <c r="R83" s="545"/>
      <c r="S83" s="545"/>
      <c r="T83" s="545"/>
      <c r="U83" s="545"/>
      <c r="V83" s="545"/>
      <c r="W83" s="545"/>
      <c r="X83" s="545"/>
    </row>
    <row r="84" customFormat="false" ht="12.75" hidden="false" customHeight="true" outlineLevel="0" collapsed="false">
      <c r="K84" s="541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545"/>
      <c r="X84" s="545"/>
    </row>
    <row r="85" customFormat="false" ht="12.75" hidden="false" customHeight="true" outlineLevel="0" collapsed="false">
      <c r="X85" s="545"/>
    </row>
    <row r="86" customFormat="false" ht="12.75" hidden="false" customHeight="true" outlineLevel="0" collapsed="false">
      <c r="J86" s="548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50"/>
    </row>
    <row r="87" customFormat="false" ht="12.75" hidden="false" customHeight="true" outlineLevel="0" collapsed="false">
      <c r="K87" s="478"/>
      <c r="L87" s="478"/>
      <c r="M87" s="478"/>
      <c r="N87" s="478"/>
      <c r="O87" s="478"/>
      <c r="P87" s="478"/>
      <c r="Q87" s="478"/>
      <c r="R87" s="478"/>
      <c r="S87" s="478"/>
      <c r="T87" s="478"/>
      <c r="U87" s="478"/>
      <c r="V87" s="478"/>
      <c r="W87" s="478"/>
      <c r="X87" s="550"/>
    </row>
    <row r="88" customFormat="false" ht="12.75" hidden="false" customHeight="true" outlineLevel="0" collapsed="false">
      <c r="K88" s="478"/>
      <c r="L88" s="478"/>
      <c r="M88" s="478"/>
      <c r="N88" s="478"/>
      <c r="O88" s="478"/>
      <c r="P88" s="478"/>
      <c r="Q88" s="478"/>
      <c r="R88" s="478"/>
      <c r="S88" s="478"/>
      <c r="T88" s="478"/>
      <c r="U88" s="478"/>
      <c r="V88" s="478"/>
      <c r="W88" s="478"/>
      <c r="X88" s="550"/>
    </row>
    <row r="89" customFormat="false" ht="12.75" hidden="false" customHeight="true" outlineLevel="0" collapsed="false">
      <c r="K89" s="478"/>
      <c r="L89" s="478"/>
      <c r="M89" s="478"/>
      <c r="N89" s="478"/>
      <c r="O89" s="478"/>
      <c r="P89" s="478"/>
      <c r="Q89" s="478"/>
      <c r="R89" s="478"/>
      <c r="S89" s="478"/>
      <c r="T89" s="478"/>
      <c r="U89" s="478"/>
      <c r="V89" s="478"/>
      <c r="W89" s="478"/>
      <c r="X89" s="550"/>
    </row>
    <row r="90" customFormat="false" ht="12.75" hidden="false" customHeight="true" outlineLevel="0" collapsed="false"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550"/>
    </row>
    <row r="91" customFormat="false" ht="12.75" hidden="false" customHeight="true" outlineLevel="0" collapsed="false">
      <c r="K91" s="478"/>
      <c r="L91" s="478"/>
      <c r="M91" s="478"/>
      <c r="N91" s="478"/>
      <c r="O91" s="478"/>
      <c r="P91" s="478"/>
      <c r="Q91" s="478"/>
      <c r="R91" s="478"/>
      <c r="S91" s="478"/>
      <c r="T91" s="478"/>
      <c r="U91" s="478"/>
      <c r="V91" s="478"/>
      <c r="W91" s="478"/>
      <c r="X91" s="541"/>
    </row>
    <row r="92" customFormat="false" ht="12.75" hidden="false" customHeight="true" outlineLevel="0" collapsed="false">
      <c r="K92" s="478"/>
      <c r="L92" s="478"/>
      <c r="M92" s="478"/>
      <c r="N92" s="478"/>
      <c r="O92" s="478"/>
      <c r="P92" s="478"/>
      <c r="Q92" s="478"/>
      <c r="R92" s="478"/>
      <c r="S92" s="478"/>
      <c r="T92" s="478"/>
      <c r="U92" s="478"/>
      <c r="V92" s="478"/>
      <c r="W92" s="478"/>
      <c r="X92" s="551"/>
    </row>
    <row r="93" customFormat="false" ht="12.75" hidden="false" customHeight="true" outlineLevel="0" collapsed="false">
      <c r="K93" s="545"/>
      <c r="L93" s="545"/>
      <c r="M93" s="545"/>
      <c r="N93" s="545"/>
      <c r="O93" s="545"/>
      <c r="P93" s="545"/>
      <c r="Q93" s="545"/>
      <c r="R93" s="545"/>
      <c r="S93" s="545"/>
      <c r="T93" s="545"/>
      <c r="U93" s="545"/>
      <c r="V93" s="545"/>
      <c r="W93" s="478"/>
      <c r="X93" s="551"/>
    </row>
    <row r="94" customFormat="false" ht="12.75" hidden="false" customHeight="true" outlineLevel="0" collapsed="false"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1"/>
    </row>
    <row r="95" customFormat="false" ht="12.75" hidden="false" customHeight="true" outlineLevel="0" collapsed="false">
      <c r="K95" s="478"/>
      <c r="L95" s="478"/>
      <c r="M95" s="478"/>
      <c r="N95" s="478"/>
      <c r="O95" s="478"/>
      <c r="P95" s="478"/>
      <c r="Q95" s="478"/>
      <c r="R95" s="478"/>
      <c r="S95" s="478"/>
      <c r="T95" s="478"/>
      <c r="U95" s="478"/>
      <c r="V95" s="478"/>
      <c r="W95" s="478"/>
      <c r="X95" s="551"/>
    </row>
    <row r="96" customFormat="false" ht="12.75" hidden="false" customHeight="true" outlineLevel="0" collapsed="false">
      <c r="K96" s="478"/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551"/>
    </row>
    <row r="97" customFormat="false" ht="12.75" hidden="false" customHeight="true" outlineLevel="0" collapsed="false"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551"/>
    </row>
    <row r="98" customFormat="false" ht="12.75" hidden="false" customHeight="true" outlineLevel="0" collapsed="false">
      <c r="K98" s="553"/>
      <c r="L98" s="553"/>
      <c r="M98" s="553"/>
      <c r="N98" s="553"/>
      <c r="O98" s="553"/>
      <c r="P98" s="553"/>
      <c r="Q98" s="553"/>
      <c r="R98" s="553"/>
      <c r="S98" s="553"/>
      <c r="T98" s="553"/>
      <c r="U98" s="553"/>
      <c r="V98" s="553"/>
      <c r="W98" s="478"/>
      <c r="X98" s="541"/>
    </row>
    <row r="99" customFormat="false" ht="12.75" hidden="false" customHeight="true" outlineLevel="0" collapsed="false">
      <c r="K99" s="553"/>
      <c r="L99" s="553"/>
      <c r="M99" s="553"/>
      <c r="N99" s="553"/>
      <c r="O99" s="553"/>
      <c r="P99" s="553"/>
      <c r="Q99" s="553"/>
      <c r="R99" s="553"/>
      <c r="S99" s="553"/>
      <c r="T99" s="553"/>
      <c r="U99" s="553"/>
      <c r="V99" s="553"/>
      <c r="W99" s="478"/>
      <c r="X99" s="554"/>
    </row>
    <row r="100" customFormat="false" ht="12.75" hidden="false" customHeight="true" outlineLevel="0" collapsed="false">
      <c r="K100" s="553"/>
      <c r="L100" s="553"/>
      <c r="M100" s="553"/>
      <c r="N100" s="553"/>
      <c r="O100" s="553"/>
      <c r="P100" s="553"/>
      <c r="Q100" s="553"/>
      <c r="R100" s="553"/>
      <c r="S100" s="553"/>
      <c r="T100" s="553"/>
      <c r="U100" s="553"/>
      <c r="V100" s="553"/>
      <c r="W100" s="478"/>
      <c r="X100" s="555"/>
    </row>
    <row r="101" customFormat="false" ht="12.75" hidden="false" customHeight="true" outlineLevel="0" collapsed="false"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478"/>
      <c r="X101" s="555"/>
    </row>
    <row r="102" customFormat="false" ht="12.75" hidden="false" customHeight="true" outlineLevel="0" collapsed="false">
      <c r="K102" s="553"/>
      <c r="L102" s="553"/>
      <c r="M102" s="553"/>
      <c r="N102" s="553"/>
      <c r="O102" s="553"/>
      <c r="P102" s="553"/>
      <c r="Q102" s="553"/>
      <c r="R102" s="553"/>
      <c r="S102" s="553"/>
      <c r="T102" s="553"/>
      <c r="U102" s="553"/>
      <c r="V102" s="553"/>
      <c r="W102" s="478"/>
      <c r="X102" s="333"/>
    </row>
    <row r="103" customFormat="false" ht="12.75" hidden="false" customHeight="true" outlineLevel="0" collapsed="false">
      <c r="K103" s="553"/>
      <c r="L103" s="553"/>
      <c r="M103" s="553"/>
      <c r="N103" s="553"/>
      <c r="O103" s="553"/>
      <c r="P103" s="553"/>
      <c r="Q103" s="553"/>
      <c r="R103" s="553"/>
      <c r="S103" s="553"/>
      <c r="T103" s="553"/>
      <c r="U103" s="553"/>
      <c r="V103" s="553"/>
      <c r="W103" s="478"/>
      <c r="X103" s="333"/>
    </row>
    <row r="104" customFormat="false" ht="12.75" hidden="false" customHeight="true" outlineLevel="0" collapsed="false">
      <c r="K104" s="553"/>
      <c r="L104" s="553"/>
      <c r="M104" s="553"/>
      <c r="N104" s="553"/>
      <c r="O104" s="553"/>
      <c r="P104" s="553"/>
      <c r="Q104" s="553"/>
      <c r="R104" s="553"/>
      <c r="S104" s="553"/>
      <c r="T104" s="553"/>
      <c r="U104" s="553"/>
      <c r="V104" s="553"/>
      <c r="W104" s="478"/>
      <c r="X104" s="333"/>
    </row>
    <row r="105" customFormat="false" ht="12.75" hidden="false" customHeight="true" outlineLevel="0" collapsed="false">
      <c r="K105" s="553"/>
      <c r="L105" s="553"/>
      <c r="M105" s="553"/>
      <c r="N105" s="553"/>
      <c r="O105" s="553"/>
      <c r="P105" s="553"/>
      <c r="Q105" s="553"/>
      <c r="R105" s="553"/>
      <c r="S105" s="553"/>
      <c r="T105" s="553"/>
      <c r="U105" s="553"/>
      <c r="V105" s="553"/>
      <c r="W105" s="478"/>
      <c r="X105" s="333"/>
    </row>
    <row r="106" customFormat="false" ht="12.75" hidden="false" customHeight="true" outlineLevel="0" collapsed="false"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  <c r="X106" s="333"/>
    </row>
    <row r="107" customFormat="false" ht="12.75" hidden="false" customHeight="true" outlineLevel="0" collapsed="false">
      <c r="K107" s="478"/>
      <c r="L107" s="478"/>
      <c r="M107" s="478"/>
      <c r="N107" s="478"/>
      <c r="O107" s="478"/>
      <c r="P107" s="478"/>
      <c r="Q107" s="478"/>
      <c r="R107" s="478"/>
      <c r="S107" s="478"/>
      <c r="T107" s="478"/>
      <c r="U107" s="478"/>
      <c r="V107" s="478"/>
      <c r="W107" s="478"/>
    </row>
    <row r="108" customFormat="false" ht="12.75" hidden="false" customHeight="true" outlineLevel="0" collapsed="false"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8"/>
      <c r="W108" s="478"/>
    </row>
    <row r="109" customFormat="false" ht="12.75" hidden="false" customHeight="true" outlineLevel="0" collapsed="false">
      <c r="K109" s="478"/>
      <c r="L109" s="478"/>
      <c r="M109" s="478"/>
      <c r="N109" s="478"/>
      <c r="O109" s="478"/>
      <c r="P109" s="478"/>
      <c r="Q109" s="478"/>
      <c r="R109" s="478"/>
      <c r="S109" s="478"/>
      <c r="T109" s="478"/>
      <c r="U109" s="478"/>
      <c r="V109" s="478"/>
      <c r="W109" s="478"/>
    </row>
    <row r="110" customFormat="false" ht="12.75" hidden="false" customHeight="true" outlineLevel="0" collapsed="false">
      <c r="K110" s="478"/>
      <c r="L110" s="478"/>
      <c r="M110" s="478"/>
      <c r="N110" s="478"/>
      <c r="O110" s="478"/>
      <c r="P110" s="478"/>
      <c r="Q110" s="478"/>
      <c r="R110" s="478"/>
      <c r="S110" s="478"/>
      <c r="T110" s="478"/>
      <c r="U110" s="478"/>
      <c r="V110" s="478"/>
      <c r="W110" s="478"/>
    </row>
    <row r="111" customFormat="false" ht="12.75" hidden="false" customHeight="true" outlineLevel="0" collapsed="false">
      <c r="K111" s="478"/>
      <c r="L111" s="478"/>
      <c r="M111" s="478"/>
      <c r="N111" s="478"/>
      <c r="O111" s="478"/>
      <c r="P111" s="478"/>
      <c r="Q111" s="478"/>
      <c r="R111" s="478"/>
      <c r="S111" s="478"/>
      <c r="T111" s="478"/>
      <c r="U111" s="478"/>
      <c r="V111" s="478"/>
      <c r="W111" s="478"/>
    </row>
    <row r="112" customFormat="false" ht="12.75" hidden="false" customHeight="true" outlineLevel="0" collapsed="false">
      <c r="K112" s="478"/>
      <c r="L112" s="478"/>
      <c r="M112" s="478"/>
      <c r="N112" s="478"/>
      <c r="O112" s="478"/>
      <c r="P112" s="478"/>
      <c r="Q112" s="478"/>
      <c r="R112" s="478"/>
      <c r="S112" s="478"/>
      <c r="T112" s="478"/>
      <c r="U112" s="478"/>
      <c r="V112" s="478"/>
      <c r="W112" s="478"/>
    </row>
    <row r="113" customFormat="false" ht="12.75" hidden="false" customHeight="true" outlineLevel="0" collapsed="false">
      <c r="K113" s="478"/>
      <c r="L113" s="478"/>
      <c r="M113" s="478"/>
      <c r="N113" s="478"/>
      <c r="O113" s="478"/>
      <c r="P113" s="478"/>
      <c r="Q113" s="478"/>
      <c r="R113" s="478"/>
      <c r="S113" s="478"/>
      <c r="T113" s="478"/>
      <c r="U113" s="478"/>
      <c r="V113" s="478"/>
      <c r="W113" s="478"/>
    </row>
    <row r="114" customFormat="false" ht="12.75" hidden="false" customHeight="true" outlineLevel="0" collapsed="false">
      <c r="K114" s="552"/>
      <c r="L114" s="552"/>
      <c r="M114" s="552"/>
      <c r="N114" s="552"/>
      <c r="O114" s="552"/>
      <c r="P114" s="552"/>
      <c r="Q114" s="552"/>
      <c r="R114" s="552"/>
      <c r="S114" s="552"/>
      <c r="T114" s="552"/>
      <c r="U114" s="552"/>
      <c r="V114" s="552"/>
      <c r="W114" s="552"/>
    </row>
    <row r="115" customFormat="false" ht="12.75" hidden="false" customHeight="true" outlineLevel="0" collapsed="false">
      <c r="K115" s="478"/>
      <c r="L115" s="478"/>
      <c r="M115" s="478"/>
      <c r="N115" s="478"/>
      <c r="O115" s="478"/>
      <c r="P115" s="478"/>
      <c r="Q115" s="478"/>
      <c r="R115" s="478"/>
      <c r="S115" s="478"/>
      <c r="T115" s="478"/>
      <c r="U115" s="478"/>
      <c r="V115" s="478"/>
      <c r="W115" s="478"/>
    </row>
    <row r="116" customFormat="false" ht="12.75" hidden="false" customHeight="true" outlineLevel="0" collapsed="false"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</row>
    <row r="117" customFormat="false" ht="12.75" hidden="false" customHeight="true" outlineLevel="0" collapsed="false">
      <c r="K117" s="556"/>
      <c r="L117" s="556"/>
      <c r="M117" s="556"/>
      <c r="N117" s="556"/>
      <c r="O117" s="556"/>
      <c r="P117" s="556"/>
      <c r="Q117" s="556"/>
      <c r="R117" s="556"/>
      <c r="S117" s="556"/>
      <c r="T117" s="556"/>
      <c r="U117" s="556"/>
      <c r="V117" s="556"/>
      <c r="W117" s="556"/>
    </row>
    <row r="118" customFormat="false" ht="12.75" hidden="false" customHeight="true" outlineLevel="0" collapsed="false"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</row>
    <row r="119" customFormat="false" ht="12.75" hidden="false" customHeight="true" outlineLevel="0" collapsed="false"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</row>
    <row r="120" customFormat="false" ht="12.75" hidden="false" customHeight="true" outlineLevel="0" collapsed="false"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</row>
    <row r="121" customFormat="false" ht="12.75" hidden="false" customHeight="true" outlineLevel="0" collapsed="false"/>
    <row r="122" customFormat="false" ht="12.75" hidden="false" customHeight="true" outlineLevel="0" collapsed="false">
      <c r="K122" s="313"/>
      <c r="L122" s="313"/>
      <c r="M122" s="313"/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</row>
    <row r="123" customFormat="false" ht="12.75" hidden="false" customHeight="true" outlineLevel="0" collapsed="false"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</row>
    <row r="124" customFormat="false" ht="12.75" hidden="false" customHeight="true" outlineLevel="0" collapsed="false"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</row>
    <row r="125" customFormat="false" ht="12.75" hidden="false" customHeight="true" outlineLevel="0" collapsed="false">
      <c r="K125" s="313"/>
      <c r="L125" s="313"/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</row>
    <row r="126" customFormat="false" ht="12.75" hidden="false" customHeight="true" outlineLevel="0" collapsed="false">
      <c r="K126" s="313"/>
      <c r="L126" s="313"/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</row>
    <row r="127" customFormat="false" ht="12.75" hidden="false" customHeight="true" outlineLevel="0" collapsed="false"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</row>
    <row r="128" customFormat="false" ht="12.75" hidden="false" customHeight="true" outlineLevel="0" collapsed="false"/>
    <row r="129" customFormat="false" ht="12.75" hidden="false" customHeight="true" outlineLevel="0" collapsed="false"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19"/>
      <c r="U129" s="319"/>
      <c r="V129" s="319"/>
      <c r="W129" s="319"/>
    </row>
    <row r="130" customFormat="false" ht="12.75" hidden="false" customHeight="true" outlineLevel="0" collapsed="false"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</row>
    <row r="131" customFormat="false" ht="12.75" hidden="false" customHeight="true" outlineLevel="0" collapsed="false"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20.9921875" defaultRowHeight="12.75" customHeight="true" zeroHeight="false" outlineLevelRow="0" outlineLevelCol="0"/>
  <cols>
    <col collapsed="false" customWidth="false" hidden="false" outlineLevel="0" max="257" min="1" style="294" width="20.98"/>
  </cols>
  <sheetData>
    <row r="2" customFormat="false" ht="12.75" hidden="false" customHeight="false" outlineLevel="0" collapsed="false">
      <c r="K2" s="360" t="n">
        <v>31</v>
      </c>
      <c r="L2" s="360" t="n">
        <v>28</v>
      </c>
      <c r="M2" s="360" t="n">
        <v>31</v>
      </c>
      <c r="N2" s="360" t="n">
        <v>30</v>
      </c>
      <c r="O2" s="360" t="n">
        <v>31</v>
      </c>
      <c r="P2" s="360" t="n">
        <v>30</v>
      </c>
      <c r="Q2" s="360" t="n">
        <v>31</v>
      </c>
      <c r="R2" s="360" t="n">
        <v>31</v>
      </c>
      <c r="S2" s="360" t="n">
        <v>30</v>
      </c>
      <c r="T2" s="360" t="n">
        <v>31</v>
      </c>
      <c r="U2" s="360" t="n">
        <v>30</v>
      </c>
      <c r="V2" s="360" t="n">
        <v>31</v>
      </c>
    </row>
    <row r="3" customFormat="false" ht="12.75" hidden="false" customHeight="false" outlineLevel="0" collapsed="false"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</row>
    <row r="4" customFormat="false" ht="12.75" hidden="false" customHeight="false" outlineLevel="0" collapsed="false"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</row>
    <row r="5" customFormat="false" ht="12.75" hidden="false" customHeight="false" outlineLevel="0" collapsed="false">
      <c r="K5" s="360" t="s">
        <v>233</v>
      </c>
      <c r="L5" s="360" t="s">
        <v>234</v>
      </c>
      <c r="M5" s="360" t="s">
        <v>98</v>
      </c>
      <c r="N5" s="360" t="s">
        <v>99</v>
      </c>
      <c r="O5" s="360" t="s">
        <v>100</v>
      </c>
      <c r="P5" s="360" t="s">
        <v>101</v>
      </c>
      <c r="Q5" s="360" t="s">
        <v>102</v>
      </c>
      <c r="R5" s="360" t="s">
        <v>239</v>
      </c>
      <c r="S5" s="360" t="s">
        <v>326</v>
      </c>
      <c r="T5" s="360" t="s">
        <v>241</v>
      </c>
      <c r="U5" s="360" t="s">
        <v>242</v>
      </c>
      <c r="V5" s="360" t="s">
        <v>243</v>
      </c>
      <c r="W5" s="294" t="s">
        <v>244</v>
      </c>
    </row>
    <row r="6" customFormat="false" ht="12.75" hidden="false" customHeight="false" outlineLevel="0" collapsed="false">
      <c r="A6" s="294" t="s">
        <v>510</v>
      </c>
    </row>
    <row r="9" customFormat="false" ht="12.75" hidden="false" customHeight="false" outlineLevel="0" collapsed="false">
      <c r="A9" s="294" t="s">
        <v>334</v>
      </c>
      <c r="B9" s="294" t="s">
        <v>335</v>
      </c>
      <c r="C9" s="294" t="s">
        <v>478</v>
      </c>
      <c r="D9" s="294" t="s">
        <v>336</v>
      </c>
      <c r="E9" s="359" t="s">
        <v>337</v>
      </c>
      <c r="F9" s="294" t="s">
        <v>338</v>
      </c>
      <c r="G9" s="294" t="s">
        <v>339</v>
      </c>
      <c r="H9" s="359" t="s">
        <v>340</v>
      </c>
      <c r="I9" s="360" t="s">
        <v>341</v>
      </c>
      <c r="J9" s="294" t="s">
        <v>225</v>
      </c>
    </row>
    <row r="11" customFormat="false" ht="12.75" hidden="false" customHeight="false" outlineLevel="0" collapsed="false">
      <c r="A11" s="294" t="s">
        <v>343</v>
      </c>
      <c r="B11" s="294" t="s">
        <v>511</v>
      </c>
      <c r="C11" s="294" t="s">
        <v>5</v>
      </c>
      <c r="D11" s="294" t="s">
        <v>367</v>
      </c>
      <c r="G11" s="377" t="n">
        <v>36800</v>
      </c>
      <c r="I11" s="360" t="n">
        <v>75000</v>
      </c>
      <c r="J11" s="294" t="n">
        <v>0.02</v>
      </c>
      <c r="T11" s="294" t="n">
        <f aca="false">$I11*$J11*T2</f>
        <v>46500</v>
      </c>
      <c r="U11" s="294" t="n">
        <f aca="false">$I11*$J11*U2</f>
        <v>45000</v>
      </c>
      <c r="V11" s="294" t="n">
        <f aca="false">$I11*$J11*V2</f>
        <v>46500</v>
      </c>
      <c r="W11" s="294" t="n">
        <f aca="false">SUM(T11:V11)</f>
        <v>138000</v>
      </c>
    </row>
    <row r="19" customFormat="false" ht="12.75" hidden="false" customHeight="false" outlineLevel="0" collapsed="false">
      <c r="W19" s="300"/>
    </row>
    <row r="20" customFormat="false" ht="12.75" hidden="false" customHeight="false" outlineLevel="0" collapsed="false">
      <c r="B20" s="294" t="s">
        <v>244</v>
      </c>
      <c r="W20" s="294" t="n">
        <f aca="false">SUM(W11:W19)</f>
        <v>138000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82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S16" activeCellId="0" sqref="S16"/>
    </sheetView>
  </sheetViews>
  <sheetFormatPr defaultColWidth="20.9921875" defaultRowHeight="12.75" customHeight="true" zeroHeight="false" outlineLevelRow="0" outlineLevelCol="0"/>
  <cols>
    <col collapsed="false" customWidth="false" hidden="false" outlineLevel="0" max="1" min="1" style="294" width="20.98"/>
    <col collapsed="false" customWidth="true" hidden="false" outlineLevel="0" max="2" min="2" style="294" width="4.78"/>
    <col collapsed="false" customWidth="false" hidden="false" outlineLevel="0" max="3" min="3" style="294" width="20.98"/>
    <col collapsed="false" customWidth="true" hidden="false" outlineLevel="0" max="4" min="4" style="294" width="4.38"/>
    <col collapsed="false" customWidth="false" hidden="false" outlineLevel="0" max="5" min="5" style="294" width="20.98"/>
    <col collapsed="false" customWidth="true" hidden="false" outlineLevel="0" max="6" min="6" style="294" width="5.19"/>
    <col collapsed="false" customWidth="true" hidden="false" outlineLevel="0" max="7" min="7" style="294" width="24.59"/>
    <col collapsed="false" customWidth="true" hidden="false" outlineLevel="0" max="8" min="8" style="294" width="5.39"/>
    <col collapsed="false" customWidth="false" hidden="false" outlineLevel="0" max="9" min="9" style="294" width="20.98"/>
    <col collapsed="false" customWidth="true" hidden="false" outlineLevel="0" max="10" min="10" style="294" width="5.19"/>
    <col collapsed="false" customWidth="true" hidden="false" outlineLevel="0" max="11" min="11" style="294" width="21.19"/>
    <col collapsed="false" customWidth="true" hidden="false" outlineLevel="0" max="12" min="12" style="294" width="5.19"/>
    <col collapsed="false" customWidth="false" hidden="false" outlineLevel="0" max="13" min="13" style="294" width="20.98"/>
    <col collapsed="false" customWidth="true" hidden="false" outlineLevel="0" max="14" min="14" style="294" width="6.38"/>
    <col collapsed="false" customWidth="false" hidden="false" outlineLevel="0" max="15" min="15" style="294" width="20.98"/>
    <col collapsed="false" customWidth="true" hidden="false" outlineLevel="0" max="16" min="16" style="294" width="6.59"/>
    <col collapsed="false" customWidth="true" hidden="false" outlineLevel="0" max="17" min="17" style="294" width="23.38"/>
    <col collapsed="false" customWidth="true" hidden="false" outlineLevel="0" max="18" min="18" style="294" width="4.59"/>
    <col collapsed="false" customWidth="false" hidden="false" outlineLevel="0" max="19" min="19" style="294" width="20.98"/>
    <col collapsed="false" customWidth="true" hidden="false" outlineLevel="0" max="20" min="20" style="294" width="5.79"/>
    <col collapsed="false" customWidth="false" hidden="false" outlineLevel="0" max="21" min="21" style="294" width="20.98"/>
    <col collapsed="false" customWidth="true" hidden="false" outlineLevel="0" max="22" min="22" style="294" width="7.99"/>
    <col collapsed="false" customWidth="false" hidden="false" outlineLevel="0" max="23" min="23" style="294" width="20.98"/>
    <col collapsed="false" customWidth="true" hidden="false" outlineLevel="0" max="24" min="24" style="294" width="3.39"/>
    <col collapsed="false" customWidth="false" hidden="true" outlineLevel="0" max="25" min="25" style="294" width="20.98"/>
    <col collapsed="false" customWidth="false" hidden="false" outlineLevel="0" max="257" min="26" style="294" width="20.98"/>
  </cols>
  <sheetData>
    <row r="1" customFormat="false" ht="18" hidden="false" customHeight="false" outlineLevel="0" collapsed="false">
      <c r="A1" s="566" t="s">
        <v>85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</row>
    <row r="2" customFormat="false" ht="18" hidden="false" customHeight="false" outlineLevel="0" collapsed="false">
      <c r="A2" s="566" t="s">
        <v>512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</row>
    <row r="3" customFormat="false" ht="18" hidden="false" customHeight="false" outlineLevel="0" collapsed="false">
      <c r="A3" s="566" t="s">
        <v>513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</row>
    <row r="4" customFormat="false" ht="18" hidden="false" customHeight="false" outlineLevel="0" collapsed="false">
      <c r="A4" s="567" t="s">
        <v>514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</row>
    <row r="5" customFormat="false" ht="12.75" hidden="false" customHeight="false" outlineLevel="0" collapsed="false">
      <c r="A5" s="568"/>
      <c r="B5" s="568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</row>
    <row r="6" customFormat="false" ht="12.75" hidden="false" customHeight="false" outlineLevel="0" collapsed="false">
      <c r="A6" s="568"/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</row>
    <row r="7" customFormat="false" ht="12.75" hidden="false" customHeight="false" outlineLevel="0" collapsed="false">
      <c r="A7" s="568"/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</row>
    <row r="8" customFormat="false" ht="15.75" hidden="false" customHeight="false" outlineLevel="0" collapsed="false">
      <c r="A8" s="568"/>
      <c r="B8" s="568"/>
      <c r="C8" s="569"/>
      <c r="D8" s="569"/>
      <c r="E8" s="0"/>
      <c r="F8" s="570"/>
      <c r="G8" s="567" t="s">
        <v>515</v>
      </c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71"/>
      <c r="Y8" s="568"/>
    </row>
    <row r="9" customFormat="false" ht="12.75" hidden="false" customHeight="false" outlineLevel="0" collapsed="false">
      <c r="A9" s="568"/>
      <c r="B9" s="568"/>
      <c r="C9" s="568"/>
      <c r="D9" s="568"/>
      <c r="E9" s="572"/>
      <c r="F9" s="568"/>
      <c r="G9" s="567"/>
      <c r="H9" s="567"/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7"/>
      <c r="U9" s="567"/>
      <c r="V9" s="567"/>
      <c r="W9" s="567"/>
      <c r="X9" s="567"/>
      <c r="Y9" s="568"/>
    </row>
    <row r="10" customFormat="false" ht="12.75" hidden="false" customHeight="false" outlineLevel="0" collapsed="false">
      <c r="A10" s="568"/>
      <c r="B10" s="568"/>
      <c r="C10" s="568"/>
      <c r="D10" s="568"/>
      <c r="E10" s="572"/>
      <c r="F10" s="568"/>
      <c r="G10" s="573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5"/>
      <c r="V10" s="567"/>
      <c r="W10" s="568"/>
      <c r="X10" s="567"/>
      <c r="Y10" s="568"/>
    </row>
    <row r="11" customFormat="false" ht="15" hidden="false" customHeight="false" outlineLevel="0" collapsed="false">
      <c r="A11" s="568"/>
      <c r="B11" s="568"/>
      <c r="C11" s="567" t="s">
        <v>516</v>
      </c>
      <c r="D11" s="568"/>
      <c r="E11" s="567" t="s">
        <v>107</v>
      </c>
      <c r="F11" s="568"/>
      <c r="G11" s="576"/>
      <c r="H11" s="568"/>
      <c r="I11" s="568"/>
      <c r="J11" s="568"/>
      <c r="K11" s="568"/>
      <c r="L11" s="568"/>
      <c r="M11" s="568"/>
      <c r="N11" s="568"/>
      <c r="O11" s="568"/>
      <c r="P11" s="568"/>
      <c r="Q11" s="567"/>
      <c r="R11" s="568"/>
      <c r="S11" s="568"/>
      <c r="T11" s="568"/>
      <c r="U11" s="577"/>
      <c r="V11" s="578"/>
      <c r="W11" s="567" t="s">
        <v>107</v>
      </c>
      <c r="X11" s="578"/>
      <c r="Y11" s="567" t="s">
        <v>517</v>
      </c>
    </row>
    <row r="12" customFormat="false" ht="12.75" hidden="false" customHeight="false" outlineLevel="0" collapsed="false">
      <c r="A12" s="568"/>
      <c r="B12" s="568"/>
      <c r="C12" s="579" t="s">
        <v>518</v>
      </c>
      <c r="D12" s="568"/>
      <c r="E12" s="579" t="s">
        <v>519</v>
      </c>
      <c r="F12" s="568"/>
      <c r="G12" s="580" t="s">
        <v>520</v>
      </c>
      <c r="H12" s="567" t="s">
        <v>397</v>
      </c>
      <c r="I12" s="567" t="s">
        <v>521</v>
      </c>
      <c r="J12" s="567"/>
      <c r="K12" s="567" t="s">
        <v>522</v>
      </c>
      <c r="L12" s="567"/>
      <c r="M12" s="567" t="s">
        <v>523</v>
      </c>
      <c r="N12" s="567"/>
      <c r="O12" s="567" t="s">
        <v>524</v>
      </c>
      <c r="P12" s="567"/>
      <c r="Q12" s="567" t="s">
        <v>209</v>
      </c>
      <c r="R12" s="567"/>
      <c r="S12" s="567"/>
      <c r="T12" s="567" t="s">
        <v>397</v>
      </c>
      <c r="U12" s="581"/>
      <c r="V12" s="568" t="s">
        <v>397</v>
      </c>
      <c r="W12" s="579" t="s">
        <v>525</v>
      </c>
      <c r="X12" s="568"/>
      <c r="Y12" s="579" t="s">
        <v>525</v>
      </c>
    </row>
    <row r="13" customFormat="false" ht="12.75" hidden="false" customHeight="false" outlineLevel="0" collapsed="false">
      <c r="A13" s="568"/>
      <c r="B13" s="568" t="s">
        <v>397</v>
      </c>
      <c r="C13" s="582" t="s">
        <v>526</v>
      </c>
      <c r="D13" s="568" t="s">
        <v>397</v>
      </c>
      <c r="E13" s="583" t="s">
        <v>527</v>
      </c>
      <c r="F13" s="568"/>
      <c r="G13" s="584" t="s">
        <v>528</v>
      </c>
      <c r="H13" s="585"/>
      <c r="I13" s="586" t="s">
        <v>529</v>
      </c>
      <c r="J13" s="585"/>
      <c r="K13" s="586" t="s">
        <v>530</v>
      </c>
      <c r="L13" s="585"/>
      <c r="M13" s="586" t="s">
        <v>531</v>
      </c>
      <c r="N13" s="585"/>
      <c r="O13" s="586" t="s">
        <v>532</v>
      </c>
      <c r="P13" s="585"/>
      <c r="Q13" s="586" t="s">
        <v>533</v>
      </c>
      <c r="R13" s="585"/>
      <c r="S13" s="586" t="s">
        <v>534</v>
      </c>
      <c r="T13" s="587"/>
      <c r="U13" s="588" t="s">
        <v>535</v>
      </c>
      <c r="V13" s="568"/>
      <c r="W13" s="582" t="s">
        <v>536</v>
      </c>
      <c r="X13" s="568"/>
      <c r="Y13" s="582" t="s">
        <v>536</v>
      </c>
    </row>
    <row r="14" customFormat="false" ht="12.75" hidden="false" customHeight="false" outlineLevel="0" collapsed="false">
      <c r="A14" s="568"/>
      <c r="B14" s="568"/>
      <c r="C14" s="568"/>
      <c r="D14" s="568"/>
      <c r="E14" s="567"/>
      <c r="F14" s="568"/>
      <c r="G14" s="576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77"/>
      <c r="V14" s="568"/>
      <c r="W14" s="568"/>
      <c r="X14" s="568"/>
      <c r="Y14" s="568"/>
    </row>
    <row r="15" customFormat="false" ht="12.75" hidden="false" customHeight="false" outlineLevel="0" collapsed="false">
      <c r="A15" s="568"/>
      <c r="B15" s="568"/>
      <c r="C15" s="568"/>
      <c r="D15" s="568"/>
      <c r="E15" s="589"/>
      <c r="F15" s="590"/>
      <c r="G15" s="591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2"/>
      <c r="V15" s="590"/>
      <c r="W15" s="590"/>
      <c r="X15" s="590"/>
      <c r="Y15" s="590"/>
    </row>
    <row r="16" customFormat="false" ht="12.75" hidden="false" customHeight="false" outlineLevel="0" collapsed="false">
      <c r="A16" s="568" t="s">
        <v>11</v>
      </c>
      <c r="B16" s="568"/>
      <c r="C16" s="593" t="n">
        <v>114.2421</v>
      </c>
      <c r="D16" s="593"/>
      <c r="E16" s="593" t="n">
        <f aca="false">105.236+17.8976</f>
        <v>123.1336</v>
      </c>
      <c r="F16" s="593"/>
      <c r="G16" s="594" t="n">
        <f aca="false">Terminations!W17/1000000*-1</f>
        <v>-1.80728</v>
      </c>
      <c r="H16" s="593"/>
      <c r="I16" s="595" t="n">
        <f aca="false">Resubscriptions!W16/1000000</f>
        <v>1.7061</v>
      </c>
      <c r="J16" s="593"/>
      <c r="K16" s="593" t="n">
        <v>-2</v>
      </c>
      <c r="L16" s="593"/>
      <c r="M16" s="593" t="n">
        <v>1.56</v>
      </c>
      <c r="N16" s="593"/>
      <c r="O16" s="596" t="n">
        <v>-0.7</v>
      </c>
      <c r="P16" s="593"/>
      <c r="Q16" s="593" t="n">
        <v>3.03</v>
      </c>
      <c r="R16" s="590"/>
      <c r="S16" s="593" t="n">
        <f aca="false">Capital!W20/1000000+0.4+2.8</f>
        <v>3.338</v>
      </c>
      <c r="T16" s="593"/>
      <c r="U16" s="597" t="n">
        <f aca="false">0.3945-0.128</f>
        <v>0.2665</v>
      </c>
      <c r="V16" s="593"/>
      <c r="W16" s="593" t="n">
        <f aca="false">+E16+SUM(G16:U16)</f>
        <v>128.52692</v>
      </c>
      <c r="X16" s="593" t="n">
        <f aca="false">Forecast01!N220/1000+Forecast01!N281/1000</f>
        <v>136.7653848005</v>
      </c>
      <c r="Y16" s="598" t="n">
        <v>125.3181</v>
      </c>
    </row>
    <row r="17" customFormat="false" ht="12.75" hidden="false" customHeight="false" outlineLevel="0" collapsed="false">
      <c r="A17" s="568"/>
      <c r="B17" s="568"/>
      <c r="C17" s="593"/>
      <c r="D17" s="593"/>
      <c r="E17" s="593"/>
      <c r="F17" s="593"/>
      <c r="G17" s="594"/>
      <c r="H17" s="593"/>
      <c r="I17" s="593"/>
      <c r="J17" s="593"/>
      <c r="K17" s="593"/>
      <c r="L17" s="593"/>
      <c r="M17" s="593"/>
      <c r="N17" s="593"/>
      <c r="O17" s="596"/>
      <c r="P17" s="593"/>
      <c r="Q17" s="593"/>
      <c r="R17" s="590"/>
      <c r="S17" s="593"/>
      <c r="T17" s="593"/>
      <c r="U17" s="597"/>
      <c r="V17" s="593"/>
      <c r="W17" s="593"/>
      <c r="X17" s="593"/>
      <c r="Y17" s="593"/>
    </row>
    <row r="18" customFormat="false" ht="12.75" hidden="false" customHeight="false" outlineLevel="0" collapsed="false">
      <c r="A18" s="568" t="s">
        <v>35</v>
      </c>
      <c r="B18" s="568"/>
      <c r="C18" s="593" t="n">
        <v>19.4661</v>
      </c>
      <c r="D18" s="593"/>
      <c r="E18" s="593" t="n">
        <v>16.0321</v>
      </c>
      <c r="F18" s="593"/>
      <c r="G18" s="594" t="n">
        <f aca="false">Terminations!W26/1000000*-1</f>
        <v>-1.00635</v>
      </c>
      <c r="H18" s="593"/>
      <c r="I18" s="593" t="n">
        <f aca="false">Resubscriptions!W25/1000000</f>
        <v>0.3115</v>
      </c>
      <c r="J18" s="593"/>
      <c r="K18" s="593"/>
      <c r="L18" s="593"/>
      <c r="M18" s="593"/>
      <c r="N18" s="593"/>
      <c r="O18" s="596" t="n">
        <v>-0.024</v>
      </c>
      <c r="P18" s="593"/>
      <c r="Q18" s="593" t="n">
        <v>-2.2</v>
      </c>
      <c r="R18" s="593"/>
      <c r="S18" s="593"/>
      <c r="T18" s="593"/>
      <c r="U18" s="597" t="n">
        <f aca="false">1.282-0.122</f>
        <v>1.16</v>
      </c>
      <c r="V18" s="593"/>
      <c r="W18" s="593" t="n">
        <f aca="false">+E18+SUM(G18:U18)</f>
        <v>14.27325</v>
      </c>
      <c r="X18" s="593" t="n">
        <f aca="false">Forecast01!N253/1000</f>
        <v>18.576577568</v>
      </c>
      <c r="Y18" s="593" t="n">
        <v>15.3831</v>
      </c>
    </row>
    <row r="19" customFormat="false" ht="12.75" hidden="false" customHeight="false" outlineLevel="0" collapsed="false">
      <c r="A19" s="568"/>
      <c r="B19" s="568"/>
      <c r="C19" s="593"/>
      <c r="D19" s="593"/>
      <c r="E19" s="593"/>
      <c r="F19" s="593"/>
      <c r="G19" s="594"/>
      <c r="H19" s="593"/>
      <c r="I19" s="593"/>
      <c r="J19" s="593"/>
      <c r="K19" s="593"/>
      <c r="L19" s="593"/>
      <c r="M19" s="593"/>
      <c r="N19" s="593"/>
      <c r="O19" s="596"/>
      <c r="P19" s="593"/>
      <c r="Q19" s="593"/>
      <c r="R19" s="593"/>
      <c r="S19" s="593"/>
      <c r="T19" s="593"/>
      <c r="U19" s="597"/>
      <c r="V19" s="593"/>
      <c r="W19" s="593"/>
      <c r="X19" s="593"/>
      <c r="Y19" s="593"/>
    </row>
    <row r="20" customFormat="false" ht="12.75" hidden="false" customHeight="false" outlineLevel="0" collapsed="false">
      <c r="A20" s="568" t="s">
        <v>507</v>
      </c>
      <c r="B20" s="568"/>
      <c r="C20" s="593" t="n">
        <v>8.4256</v>
      </c>
      <c r="D20" s="593"/>
      <c r="E20" s="595" t="n">
        <v>9.1687</v>
      </c>
      <c r="F20" s="593"/>
      <c r="G20" s="594" t="n">
        <f aca="false">Terminations!W37/1000000*-1</f>
        <v>-2.3184625</v>
      </c>
      <c r="H20" s="593"/>
      <c r="I20" s="593" t="n">
        <f aca="false">Resubscriptions!W37/1000000</f>
        <v>1.9780205</v>
      </c>
      <c r="J20" s="593"/>
      <c r="K20" s="593"/>
      <c r="L20" s="593"/>
      <c r="M20" s="593"/>
      <c r="N20" s="593"/>
      <c r="O20" s="593"/>
      <c r="P20" s="593"/>
      <c r="Q20" s="593" t="n">
        <v>-0.5</v>
      </c>
      <c r="R20" s="593"/>
      <c r="S20" s="593" t="n">
        <v>0</v>
      </c>
      <c r="T20" s="593"/>
      <c r="U20" s="597" t="n">
        <v>0.34</v>
      </c>
      <c r="V20" s="593"/>
      <c r="W20" s="593" t="n">
        <f aca="false">+E20+SUM(G20:U20)</f>
        <v>8.668258</v>
      </c>
      <c r="X20" s="593" t="n">
        <f aca="false">Forecast01!N271/1000</f>
        <v>11.22809061</v>
      </c>
      <c r="Y20" s="593" t="n">
        <v>8.3805</v>
      </c>
    </row>
    <row r="21" customFormat="false" ht="12.75" hidden="false" customHeight="false" outlineLevel="0" collapsed="false">
      <c r="A21" s="568"/>
      <c r="B21" s="568"/>
      <c r="C21" s="593"/>
      <c r="D21" s="593"/>
      <c r="E21" s="593"/>
      <c r="F21" s="593"/>
      <c r="G21" s="594"/>
      <c r="H21" s="593"/>
      <c r="I21" s="593"/>
      <c r="J21" s="593"/>
      <c r="K21" s="599"/>
      <c r="L21" s="593"/>
      <c r="M21" s="593"/>
      <c r="N21" s="593"/>
      <c r="O21" s="593"/>
      <c r="P21" s="593"/>
      <c r="Q21" s="593"/>
      <c r="R21" s="593"/>
      <c r="S21" s="593"/>
      <c r="T21" s="593"/>
      <c r="U21" s="597"/>
      <c r="V21" s="593"/>
      <c r="W21" s="593"/>
      <c r="X21" s="599"/>
      <c r="Y21" s="593"/>
    </row>
    <row r="22" customFormat="false" ht="12.75" hidden="false" customHeight="false" outlineLevel="0" collapsed="false">
      <c r="A22" s="600" t="s">
        <v>537</v>
      </c>
      <c r="B22" s="568"/>
      <c r="C22" s="601" t="n">
        <f aca="false">SUM(C16:C21)</f>
        <v>142.1338</v>
      </c>
      <c r="D22" s="593"/>
      <c r="E22" s="601" t="n">
        <f aca="false">SUM(E16:E21)</f>
        <v>148.3344</v>
      </c>
      <c r="F22" s="593"/>
      <c r="G22" s="602" t="n">
        <f aca="false">SUM(G16:G21)</f>
        <v>-5.1320925</v>
      </c>
      <c r="H22" s="593"/>
      <c r="I22" s="601" t="n">
        <f aca="false">SUM(I16:I21)</f>
        <v>3.9956205</v>
      </c>
      <c r="J22" s="593"/>
      <c r="K22" s="601" t="n">
        <f aca="false">SUM(K16:K21)</f>
        <v>-2</v>
      </c>
      <c r="L22" s="593"/>
      <c r="M22" s="601" t="n">
        <f aca="false">SUM(M16:M21)</f>
        <v>1.56</v>
      </c>
      <c r="N22" s="593"/>
      <c r="O22" s="603" t="n">
        <f aca="false">SUM(O16:O21)</f>
        <v>-0.724</v>
      </c>
      <c r="P22" s="593"/>
      <c r="Q22" s="601" t="n">
        <f aca="false">SUM(Q16:Q21)</f>
        <v>0.33</v>
      </c>
      <c r="R22" s="593"/>
      <c r="S22" s="601" t="n">
        <f aca="false">SUM(S16:S21)</f>
        <v>3.338</v>
      </c>
      <c r="T22" s="593"/>
      <c r="U22" s="604" t="n">
        <f aca="false">SUM(U16:U21)</f>
        <v>1.7665</v>
      </c>
      <c r="V22" s="593"/>
      <c r="W22" s="601" t="n">
        <f aca="false">+E22+SUM(G22:U22)</f>
        <v>151.468428</v>
      </c>
      <c r="X22" s="593" t="n">
        <f aca="false">SUM(X16:X21)</f>
        <v>166.5700529785</v>
      </c>
      <c r="Y22" s="601" t="n">
        <f aca="false">SUM(Y16:Y21)</f>
        <v>149.0817</v>
      </c>
    </row>
    <row r="23" customFormat="false" ht="12.75" hidden="false" customHeight="false" outlineLevel="0" collapsed="false">
      <c r="A23" s="568"/>
      <c r="B23" s="568"/>
      <c r="C23" s="593"/>
      <c r="D23" s="593"/>
      <c r="E23" s="593"/>
      <c r="F23" s="593"/>
      <c r="G23" s="594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7"/>
      <c r="V23" s="593"/>
      <c r="W23" s="593"/>
      <c r="X23" s="593"/>
      <c r="Y23" s="593"/>
    </row>
    <row r="24" customFormat="false" ht="12.75" hidden="false" customHeight="false" outlineLevel="0" collapsed="false">
      <c r="A24" s="568" t="s">
        <v>538</v>
      </c>
      <c r="B24" s="568"/>
      <c r="C24" s="593" t="n">
        <v>16.7567</v>
      </c>
      <c r="D24" s="593"/>
      <c r="E24" s="593" t="n">
        <v>24.2</v>
      </c>
      <c r="F24" s="593"/>
      <c r="G24" s="594" t="e">
        <f aca="false">Terminations!W118/1000*-1</f>
        <v>#REF!</v>
      </c>
      <c r="H24" s="593"/>
      <c r="I24" s="593" t="e">
        <f aca="false">Resubscriptions!W118/1000</f>
        <v>#REF!</v>
      </c>
      <c r="J24" s="593"/>
      <c r="K24" s="593"/>
      <c r="L24" s="593"/>
      <c r="M24" s="593"/>
      <c r="N24" s="593"/>
      <c r="O24" s="593"/>
      <c r="P24" s="593"/>
      <c r="Q24" s="593" t="n">
        <v>4.2</v>
      </c>
      <c r="R24" s="593"/>
      <c r="S24" s="593"/>
      <c r="T24" s="593"/>
      <c r="U24" s="597"/>
      <c r="V24" s="593"/>
      <c r="W24" s="601" t="e">
        <f aca="false">+E24+SUM(G24:U24)</f>
        <v>#REF!</v>
      </c>
      <c r="X24" s="593"/>
      <c r="Y24" s="593" t="n">
        <v>22.279</v>
      </c>
    </row>
    <row r="25" customFormat="false" ht="12.75" hidden="false" customHeight="false" outlineLevel="0" collapsed="false">
      <c r="A25" s="568"/>
      <c r="B25" s="568"/>
      <c r="C25" s="599"/>
      <c r="D25" s="593"/>
      <c r="E25" s="599"/>
      <c r="F25" s="593"/>
      <c r="G25" s="605"/>
      <c r="H25" s="593"/>
      <c r="I25" s="599"/>
      <c r="J25" s="593"/>
      <c r="K25" s="599"/>
      <c r="L25" s="593"/>
      <c r="M25" s="599"/>
      <c r="N25" s="593"/>
      <c r="O25" s="599"/>
      <c r="P25" s="593"/>
      <c r="Q25" s="599"/>
      <c r="R25" s="593"/>
      <c r="S25" s="599"/>
      <c r="T25" s="593"/>
      <c r="U25" s="606"/>
      <c r="V25" s="593"/>
      <c r="W25" s="599"/>
      <c r="X25" s="593"/>
      <c r="Y25" s="599"/>
    </row>
    <row r="26" customFormat="false" ht="12.75" hidden="false" customHeight="false" outlineLevel="0" collapsed="false">
      <c r="A26" s="568" t="s">
        <v>107</v>
      </c>
      <c r="B26" s="568"/>
      <c r="C26" s="593" t="n">
        <f aca="false">SUM(C16:C24)-C22</f>
        <v>158.8905</v>
      </c>
      <c r="D26" s="593"/>
      <c r="E26" s="593" t="n">
        <f aca="false">SUM(E16:E24)-E22</f>
        <v>172.5344</v>
      </c>
      <c r="F26" s="593"/>
      <c r="G26" s="605" t="e">
        <f aca="false">SUM(G16:G24)-G22</f>
        <v>#REF!</v>
      </c>
      <c r="H26" s="599"/>
      <c r="I26" s="599" t="e">
        <f aca="false">SUM(I16:I24)-I22</f>
        <v>#REF!</v>
      </c>
      <c r="J26" s="599"/>
      <c r="K26" s="599" t="n">
        <f aca="false">SUM(K16:K24)-K22</f>
        <v>-2</v>
      </c>
      <c r="L26" s="599"/>
      <c r="M26" s="599" t="n">
        <f aca="false">SUM(M16:M24)-M22</f>
        <v>1.56</v>
      </c>
      <c r="N26" s="599"/>
      <c r="O26" s="599" t="n">
        <f aca="false">SUM(O16:O24)-O22</f>
        <v>-0.724</v>
      </c>
      <c r="P26" s="599"/>
      <c r="Q26" s="599" t="n">
        <f aca="false">SUM(Q16:Q24)-Q22</f>
        <v>4.53</v>
      </c>
      <c r="R26" s="599"/>
      <c r="S26" s="599" t="n">
        <f aca="false">SUM(S16:S24)-S22</f>
        <v>3.338</v>
      </c>
      <c r="T26" s="599"/>
      <c r="U26" s="606" t="n">
        <f aca="false">SUM(U16:U24)-U22</f>
        <v>1.7665</v>
      </c>
      <c r="V26" s="593"/>
      <c r="W26" s="593" t="e">
        <f aca="false">SUM(W16:W24)-W22</f>
        <v>#REF!</v>
      </c>
      <c r="X26" s="593"/>
      <c r="Y26" s="593" t="n">
        <f aca="false">SUM(Y16:Y24)-Y22</f>
        <v>171.3607</v>
      </c>
    </row>
    <row r="27" customFormat="false" ht="12.75" hidden="false" customHeight="false" outlineLevel="0" collapsed="false">
      <c r="A27" s="568"/>
      <c r="B27" s="568"/>
      <c r="C27" s="568"/>
      <c r="D27" s="568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</row>
    <row r="29" customFormat="false" ht="12.75" hidden="false" customHeight="false" outlineLevel="0" collapsed="false">
      <c r="A29" s="294" t="s">
        <v>539</v>
      </c>
    </row>
    <row r="30" customFormat="false" ht="12.75" hidden="false" customHeight="false" outlineLevel="0" collapsed="false">
      <c r="A30" s="294" t="s">
        <v>540</v>
      </c>
      <c r="U30" s="294" t="s">
        <v>397</v>
      </c>
    </row>
    <row r="31" customFormat="false" ht="12.75" hidden="false" customHeight="false" outlineLevel="0" collapsed="false">
      <c r="U31" s="294" t="s">
        <v>397</v>
      </c>
    </row>
    <row r="35" customFormat="false" ht="12.75" hidden="false" customHeight="false" outlineLevel="0" collapsed="false">
      <c r="G35" s="607" t="s">
        <v>541</v>
      </c>
      <c r="H35" s="607"/>
      <c r="I35" s="607"/>
      <c r="J35" s="607"/>
      <c r="K35" s="607"/>
      <c r="L35" s="607"/>
      <c r="M35" s="607"/>
      <c r="N35" s="607"/>
      <c r="O35" s="607"/>
      <c r="P35" s="607"/>
      <c r="Q35" s="607"/>
    </row>
    <row r="37" customFormat="false" ht="12.75" hidden="false" customHeight="false" outlineLevel="0" collapsed="false">
      <c r="E37" s="294" t="s">
        <v>107</v>
      </c>
      <c r="G37" s="328"/>
      <c r="H37" s="329"/>
      <c r="I37" s="329"/>
      <c r="J37" s="329"/>
      <c r="K37" s="329"/>
      <c r="L37" s="329"/>
      <c r="M37" s="331"/>
      <c r="O37" s="361" t="s">
        <v>107</v>
      </c>
    </row>
    <row r="38" customFormat="false" ht="12.75" hidden="false" customHeight="false" outlineLevel="0" collapsed="false">
      <c r="E38" s="608" t="n">
        <v>2001</v>
      </c>
      <c r="G38" s="609" t="s">
        <v>520</v>
      </c>
      <c r="H38" s="333"/>
      <c r="I38" s="567" t="s">
        <v>521</v>
      </c>
      <c r="J38" s="333"/>
      <c r="K38" s="567" t="s">
        <v>522</v>
      </c>
      <c r="L38" s="333"/>
      <c r="M38" s="610"/>
      <c r="O38" s="361" t="n">
        <v>2002</v>
      </c>
    </row>
    <row r="39" customFormat="false" ht="12.75" hidden="false" customHeight="false" outlineLevel="0" collapsed="false">
      <c r="E39" s="294" t="s">
        <v>536</v>
      </c>
      <c r="G39" s="611" t="s">
        <v>528</v>
      </c>
      <c r="H39" s="333"/>
      <c r="I39" s="586" t="s">
        <v>529</v>
      </c>
      <c r="J39" s="333"/>
      <c r="K39" s="586" t="s">
        <v>530</v>
      </c>
      <c r="L39" s="333"/>
      <c r="M39" s="588" t="s">
        <v>534</v>
      </c>
      <c r="O39" s="361" t="s">
        <v>536</v>
      </c>
    </row>
    <row r="40" customFormat="false" ht="12.75" hidden="false" customHeight="false" outlineLevel="0" collapsed="false">
      <c r="G40" s="332"/>
      <c r="H40" s="333"/>
      <c r="I40" s="333"/>
      <c r="J40" s="333"/>
      <c r="K40" s="333"/>
      <c r="L40" s="333"/>
      <c r="M40" s="337"/>
    </row>
    <row r="41" customFormat="false" ht="12.75" hidden="false" customHeight="false" outlineLevel="0" collapsed="false">
      <c r="G41" s="332"/>
      <c r="H41" s="333"/>
      <c r="I41" s="333"/>
      <c r="J41" s="333"/>
      <c r="K41" s="333"/>
      <c r="L41" s="333"/>
      <c r="M41" s="337"/>
    </row>
    <row r="42" customFormat="false" ht="12.75" hidden="false" customHeight="false" outlineLevel="0" collapsed="false">
      <c r="G42" s="332"/>
      <c r="H42" s="333"/>
      <c r="I42" s="333"/>
      <c r="J42" s="333"/>
      <c r="K42" s="333"/>
      <c r="L42" s="333"/>
      <c r="M42" s="337"/>
    </row>
    <row r="43" customFormat="false" ht="12.75" hidden="false" customHeight="false" outlineLevel="0" collapsed="false">
      <c r="A43" s="294" t="s">
        <v>11</v>
      </c>
      <c r="E43" s="612" t="n">
        <f aca="false">W16</f>
        <v>128.52692</v>
      </c>
      <c r="G43" s="613" t="n">
        <v>-2.95</v>
      </c>
      <c r="H43" s="351"/>
      <c r="I43" s="351" t="n">
        <v>2.95</v>
      </c>
      <c r="J43" s="351"/>
      <c r="K43" s="351" t="n">
        <v>-9.849</v>
      </c>
      <c r="L43" s="351"/>
      <c r="M43" s="523" t="n">
        <v>42.5</v>
      </c>
      <c r="N43" s="522"/>
      <c r="O43" s="593" t="n">
        <f aca="false">+E43+SUM(G43:M43)</f>
        <v>161.17792</v>
      </c>
    </row>
    <row r="44" customFormat="false" ht="12.75" hidden="false" customHeight="false" outlineLevel="0" collapsed="false">
      <c r="G44" s="613"/>
      <c r="H44" s="351"/>
      <c r="I44" s="351"/>
      <c r="J44" s="351"/>
      <c r="K44" s="351"/>
      <c r="L44" s="351"/>
      <c r="M44" s="523"/>
      <c r="N44" s="522"/>
      <c r="O44" s="522"/>
    </row>
    <row r="45" customFormat="false" ht="12.75" hidden="false" customHeight="false" outlineLevel="0" collapsed="false">
      <c r="A45" s="294" t="s">
        <v>35</v>
      </c>
      <c r="E45" s="612" t="n">
        <f aca="false">W18</f>
        <v>14.27325</v>
      </c>
      <c r="G45" s="613" t="n">
        <v>0</v>
      </c>
      <c r="H45" s="351"/>
      <c r="I45" s="351" t="n">
        <v>0</v>
      </c>
      <c r="J45" s="351"/>
      <c r="K45" s="351"/>
      <c r="L45" s="351"/>
      <c r="M45" s="523" t="n">
        <v>0.2</v>
      </c>
      <c r="N45" s="522"/>
      <c r="O45" s="593" t="n">
        <f aca="false">+E45+SUM(G45:M45)</f>
        <v>14.47325</v>
      </c>
    </row>
    <row r="46" customFormat="false" ht="12.75" hidden="false" customHeight="false" outlineLevel="0" collapsed="false">
      <c r="G46" s="613"/>
      <c r="H46" s="351"/>
      <c r="I46" s="351"/>
      <c r="J46" s="351"/>
      <c r="K46" s="351"/>
      <c r="L46" s="351"/>
      <c r="M46" s="523"/>
      <c r="N46" s="522"/>
      <c r="O46" s="522"/>
    </row>
    <row r="47" customFormat="false" ht="12.75" hidden="false" customHeight="false" outlineLevel="0" collapsed="false">
      <c r="A47" s="294" t="s">
        <v>507</v>
      </c>
      <c r="E47" s="612" t="n">
        <f aca="false">W20</f>
        <v>8.668258</v>
      </c>
      <c r="G47" s="613" t="n">
        <v>0</v>
      </c>
      <c r="H47" s="351"/>
      <c r="I47" s="351" t="n">
        <v>0</v>
      </c>
      <c r="J47" s="351"/>
      <c r="K47" s="351"/>
      <c r="L47" s="351"/>
      <c r="M47" s="523" t="n">
        <v>0.24</v>
      </c>
      <c r="N47" s="522"/>
      <c r="O47" s="593" t="n">
        <f aca="false">+E47+SUM(G47:M47)</f>
        <v>8.908258</v>
      </c>
    </row>
    <row r="48" customFormat="false" ht="12.75" hidden="false" customHeight="false" outlineLevel="0" collapsed="false">
      <c r="G48" s="614"/>
      <c r="H48" s="522"/>
      <c r="I48" s="615"/>
      <c r="J48" s="522"/>
      <c r="K48" s="615"/>
      <c r="L48" s="522"/>
      <c r="M48" s="616"/>
      <c r="N48" s="522"/>
      <c r="O48" s="522"/>
    </row>
    <row r="49" customFormat="false" ht="12.75" hidden="false" customHeight="false" outlineLevel="0" collapsed="false">
      <c r="A49" s="294" t="s">
        <v>537</v>
      </c>
      <c r="E49" s="612" t="n">
        <f aca="false">SUM(E43:E48)</f>
        <v>151.468428</v>
      </c>
      <c r="G49" s="602" t="n">
        <f aca="false">SUM(G43:G48)</f>
        <v>-2.95</v>
      </c>
      <c r="H49" s="593"/>
      <c r="I49" s="601" t="n">
        <f aca="false">SUM(I43:I48)</f>
        <v>2.95</v>
      </c>
      <c r="J49" s="593"/>
      <c r="K49" s="593" t="n">
        <f aca="false">SUM(K43:K48)</f>
        <v>-9.849</v>
      </c>
      <c r="L49" s="593"/>
      <c r="M49" s="604" t="n">
        <f aca="false">SUM(M43:M48)</f>
        <v>42.94</v>
      </c>
      <c r="N49" s="522"/>
      <c r="O49" s="593" t="n">
        <f aca="false">+E49+SUM(G49:M49)</f>
        <v>184.559428</v>
      </c>
    </row>
    <row r="50" customFormat="false" ht="12.75" hidden="false" customHeight="false" outlineLevel="0" collapsed="false">
      <c r="G50" s="521"/>
      <c r="H50" s="522"/>
      <c r="I50" s="522"/>
      <c r="J50" s="522"/>
      <c r="K50" s="522"/>
      <c r="L50" s="522"/>
      <c r="M50" s="523"/>
      <c r="N50" s="522"/>
      <c r="O50" s="522"/>
    </row>
    <row r="51" customFormat="false" ht="12.75" hidden="false" customHeight="false" outlineLevel="0" collapsed="false">
      <c r="A51" s="294" t="s">
        <v>538</v>
      </c>
      <c r="E51" s="612" t="e">
        <f aca="false">W24</f>
        <v>#REF!</v>
      </c>
      <c r="G51" s="521" t="n">
        <v>-8.3</v>
      </c>
      <c r="H51" s="522"/>
      <c r="I51" s="522" t="n">
        <v>0</v>
      </c>
      <c r="J51" s="522"/>
      <c r="K51" s="522"/>
      <c r="L51" s="522"/>
      <c r="M51" s="523" t="n">
        <v>0</v>
      </c>
      <c r="N51" s="522"/>
      <c r="O51" s="593" t="e">
        <f aca="false">+E51+SUM(G51:M51)</f>
        <v>#REF!</v>
      </c>
    </row>
    <row r="52" customFormat="false" ht="12.75" hidden="false" customHeight="false" outlineLevel="0" collapsed="false">
      <c r="G52" s="521"/>
      <c r="H52" s="522"/>
      <c r="I52" s="522"/>
      <c r="J52" s="522"/>
      <c r="K52" s="522"/>
      <c r="L52" s="522"/>
      <c r="M52" s="523"/>
      <c r="N52" s="522"/>
      <c r="O52" s="522"/>
    </row>
    <row r="53" customFormat="false" ht="12.75" hidden="false" customHeight="false" outlineLevel="0" collapsed="false">
      <c r="A53" s="294" t="s">
        <v>107</v>
      </c>
      <c r="E53" s="612" t="e">
        <f aca="false">SUM(E49:E52)</f>
        <v>#REF!</v>
      </c>
      <c r="G53" s="605" t="n">
        <f aca="false">SUM(G43:G51)-G49</f>
        <v>-11.25</v>
      </c>
      <c r="H53" s="599"/>
      <c r="I53" s="599" t="n">
        <f aca="false">SUM(I43:I51)-I49</f>
        <v>2.95</v>
      </c>
      <c r="J53" s="599"/>
      <c r="K53" s="599" t="n">
        <f aca="false">SUM(K43:K51)-K49</f>
        <v>-9.849</v>
      </c>
      <c r="L53" s="599"/>
      <c r="M53" s="606" t="n">
        <f aca="false">SUM(M43:M51)-M49</f>
        <v>42.94</v>
      </c>
      <c r="N53" s="522"/>
      <c r="O53" s="593" t="e">
        <f aca="false">+E53+SUM(G53:M53)</f>
        <v>#REF!</v>
      </c>
    </row>
    <row r="59" customFormat="false" ht="12.75" hidden="false" customHeight="false" outlineLevel="0" collapsed="false">
      <c r="G59" s="607" t="s">
        <v>542</v>
      </c>
      <c r="H59" s="607"/>
      <c r="I59" s="607"/>
      <c r="J59" s="607"/>
      <c r="K59" s="607"/>
      <c r="L59" s="607"/>
      <c r="M59" s="607"/>
      <c r="N59" s="607"/>
      <c r="O59" s="607"/>
      <c r="P59" s="607"/>
      <c r="Q59" s="607"/>
    </row>
    <row r="61" customFormat="false" ht="12.75" hidden="false" customHeight="false" outlineLevel="0" collapsed="false">
      <c r="E61" s="294" t="s">
        <v>107</v>
      </c>
      <c r="G61" s="328"/>
      <c r="H61" s="329"/>
      <c r="I61" s="329"/>
      <c r="J61" s="329"/>
      <c r="K61" s="329"/>
      <c r="L61" s="329"/>
      <c r="M61" s="329"/>
      <c r="N61" s="329"/>
      <c r="O61" s="329"/>
      <c r="P61" s="329"/>
      <c r="Q61" s="331"/>
      <c r="S61" s="361" t="s">
        <v>107</v>
      </c>
    </row>
    <row r="62" customFormat="false" ht="12.75" hidden="false" customHeight="false" outlineLevel="0" collapsed="false">
      <c r="E62" s="608" t="n">
        <v>2002</v>
      </c>
      <c r="G62" s="609" t="s">
        <v>520</v>
      </c>
      <c r="H62" s="333"/>
      <c r="I62" s="567" t="s">
        <v>521</v>
      </c>
      <c r="J62" s="333"/>
      <c r="K62" s="567"/>
      <c r="L62" s="333"/>
      <c r="M62" s="567"/>
      <c r="N62" s="333"/>
      <c r="O62" s="333"/>
      <c r="P62" s="333"/>
      <c r="Q62" s="337"/>
      <c r="S62" s="361" t="n">
        <v>2003</v>
      </c>
    </row>
    <row r="63" customFormat="false" ht="12.75" hidden="false" customHeight="false" outlineLevel="0" collapsed="false">
      <c r="E63" s="294" t="s">
        <v>536</v>
      </c>
      <c r="G63" s="611" t="s">
        <v>528</v>
      </c>
      <c r="H63" s="333"/>
      <c r="I63" s="586" t="s">
        <v>529</v>
      </c>
      <c r="J63" s="333"/>
      <c r="K63" s="586"/>
      <c r="L63" s="333"/>
      <c r="M63" s="586"/>
      <c r="N63" s="333"/>
      <c r="O63" s="586" t="s">
        <v>534</v>
      </c>
      <c r="P63" s="333"/>
      <c r="Q63" s="588" t="s">
        <v>535</v>
      </c>
      <c r="S63" s="361" t="s">
        <v>536</v>
      </c>
    </row>
    <row r="64" customFormat="false" ht="12.75" hidden="false" customHeight="false" outlineLevel="0" collapsed="false">
      <c r="G64" s="332"/>
      <c r="H64" s="333"/>
      <c r="I64" s="333"/>
      <c r="J64" s="333"/>
      <c r="K64" s="333"/>
      <c r="L64" s="333"/>
      <c r="M64" s="333"/>
      <c r="N64" s="333"/>
      <c r="O64" s="333"/>
      <c r="P64" s="333"/>
      <c r="Q64" s="337"/>
    </row>
    <row r="65" customFormat="false" ht="12.75" hidden="false" customHeight="false" outlineLevel="0" collapsed="false">
      <c r="G65" s="332"/>
      <c r="H65" s="333"/>
      <c r="I65" s="333"/>
      <c r="J65" s="333"/>
      <c r="K65" s="333"/>
      <c r="L65" s="333"/>
      <c r="M65" s="333"/>
      <c r="N65" s="333"/>
      <c r="O65" s="333"/>
      <c r="P65" s="333"/>
      <c r="Q65" s="337"/>
    </row>
    <row r="66" customFormat="false" ht="12.75" hidden="false" customHeight="false" outlineLevel="0" collapsed="false">
      <c r="G66" s="521"/>
      <c r="H66" s="522"/>
      <c r="I66" s="522"/>
      <c r="J66" s="522"/>
      <c r="K66" s="522"/>
      <c r="L66" s="522"/>
      <c r="M66" s="522"/>
      <c r="N66" s="522"/>
      <c r="O66" s="522"/>
      <c r="P66" s="522"/>
      <c r="Q66" s="523"/>
    </row>
    <row r="67" customFormat="false" ht="12.75" hidden="false" customHeight="false" outlineLevel="0" collapsed="false">
      <c r="A67" s="294" t="s">
        <v>11</v>
      </c>
      <c r="E67" s="612" t="n">
        <f aca="false">O43</f>
        <v>161.17792</v>
      </c>
      <c r="G67" s="521"/>
      <c r="H67" s="522"/>
      <c r="I67" s="522"/>
      <c r="J67" s="522"/>
      <c r="K67" s="522"/>
      <c r="L67" s="522"/>
      <c r="M67" s="522"/>
      <c r="N67" s="522"/>
      <c r="O67" s="522" t="n">
        <v>125.9</v>
      </c>
      <c r="P67" s="522"/>
      <c r="Q67" s="523"/>
      <c r="S67" s="593" t="n">
        <f aca="false">+E67+SUM(G67:Q67)</f>
        <v>287.07792</v>
      </c>
    </row>
    <row r="68" customFormat="false" ht="12.75" hidden="false" customHeight="false" outlineLevel="0" collapsed="false">
      <c r="G68" s="521"/>
      <c r="H68" s="522"/>
      <c r="I68" s="522"/>
      <c r="J68" s="522"/>
      <c r="K68" s="522"/>
      <c r="L68" s="522"/>
      <c r="M68" s="522"/>
      <c r="N68" s="522"/>
      <c r="O68" s="522"/>
      <c r="P68" s="522"/>
      <c r="Q68" s="523"/>
      <c r="S68" s="522"/>
    </row>
    <row r="69" customFormat="false" ht="12.75" hidden="false" customHeight="false" outlineLevel="0" collapsed="false">
      <c r="A69" s="294" t="s">
        <v>35</v>
      </c>
      <c r="E69" s="612" t="n">
        <f aca="false">O45</f>
        <v>14.47325</v>
      </c>
      <c r="G69" s="521"/>
      <c r="H69" s="522"/>
      <c r="I69" s="522"/>
      <c r="J69" s="522"/>
      <c r="K69" s="522"/>
      <c r="L69" s="522"/>
      <c r="M69" s="522"/>
      <c r="N69" s="522"/>
      <c r="O69" s="522" t="n">
        <v>0.4</v>
      </c>
      <c r="P69" s="522"/>
      <c r="Q69" s="523"/>
      <c r="S69" s="593" t="n">
        <f aca="false">+E69+SUM(G69:Q69)</f>
        <v>14.87325</v>
      </c>
    </row>
    <row r="70" customFormat="false" ht="12.75" hidden="false" customHeight="false" outlineLevel="0" collapsed="false">
      <c r="G70" s="521"/>
      <c r="H70" s="522"/>
      <c r="I70" s="522"/>
      <c r="J70" s="522"/>
      <c r="K70" s="522"/>
      <c r="L70" s="522"/>
      <c r="M70" s="522"/>
      <c r="N70" s="522"/>
      <c r="O70" s="522"/>
      <c r="P70" s="522"/>
      <c r="Q70" s="523"/>
      <c r="S70" s="522"/>
    </row>
    <row r="71" customFormat="false" ht="12.75" hidden="false" customHeight="false" outlineLevel="0" collapsed="false">
      <c r="A71" s="294" t="s">
        <v>507</v>
      </c>
      <c r="E71" s="612" t="n">
        <f aca="false">O47</f>
        <v>8.908258</v>
      </c>
      <c r="G71" s="521"/>
      <c r="H71" s="522"/>
      <c r="I71" s="522"/>
      <c r="J71" s="522"/>
      <c r="K71" s="522"/>
      <c r="L71" s="522"/>
      <c r="M71" s="522"/>
      <c r="N71" s="522"/>
      <c r="O71" s="522"/>
      <c r="P71" s="522"/>
      <c r="Q71" s="523"/>
      <c r="S71" s="593" t="n">
        <f aca="false">+E71+SUM(G71:Q71)</f>
        <v>8.908258</v>
      </c>
    </row>
    <row r="72" customFormat="false" ht="12.75" hidden="false" customHeight="false" outlineLevel="0" collapsed="false">
      <c r="G72" s="614"/>
      <c r="H72" s="522"/>
      <c r="I72" s="615"/>
      <c r="J72" s="522"/>
      <c r="K72" s="615"/>
      <c r="L72" s="522"/>
      <c r="M72" s="615"/>
      <c r="N72" s="522"/>
      <c r="O72" s="615"/>
      <c r="P72" s="522"/>
      <c r="Q72" s="616"/>
      <c r="R72" s="522"/>
      <c r="S72" s="522"/>
    </row>
    <row r="73" customFormat="false" ht="12.75" hidden="false" customHeight="false" outlineLevel="0" collapsed="false">
      <c r="A73" s="294" t="s">
        <v>537</v>
      </c>
      <c r="E73" s="612" t="n">
        <f aca="false">SUM(E67:E72)</f>
        <v>184.559428</v>
      </c>
      <c r="G73" s="602" t="n">
        <f aca="false">SUM(G67:G72)</f>
        <v>0</v>
      </c>
      <c r="H73" s="593"/>
      <c r="I73" s="601" t="n">
        <f aca="false">SUM(I67:I72)</f>
        <v>0</v>
      </c>
      <c r="J73" s="593"/>
      <c r="K73" s="593" t="n">
        <f aca="false">SUM(K67:K72)</f>
        <v>0</v>
      </c>
      <c r="L73" s="593"/>
      <c r="M73" s="601" t="n">
        <f aca="false">SUM(M67:M72)</f>
        <v>0</v>
      </c>
      <c r="N73" s="593"/>
      <c r="O73" s="604" t="n">
        <f aca="false">SUM(O67:O72)</f>
        <v>126.3</v>
      </c>
      <c r="P73" s="593"/>
      <c r="Q73" s="604"/>
      <c r="R73" s="522"/>
      <c r="S73" s="593" t="n">
        <f aca="false">+E73+SUM(G73:Q73)</f>
        <v>310.859428</v>
      </c>
    </row>
    <row r="74" customFormat="false" ht="12.75" hidden="false" customHeight="false" outlineLevel="0" collapsed="false">
      <c r="G74" s="521"/>
      <c r="H74" s="522"/>
      <c r="I74" s="522"/>
      <c r="J74" s="522"/>
      <c r="K74" s="522"/>
      <c r="L74" s="522"/>
      <c r="M74" s="522"/>
      <c r="N74" s="522"/>
      <c r="O74" s="522"/>
      <c r="P74" s="522"/>
      <c r="Q74" s="523"/>
      <c r="R74" s="522"/>
      <c r="S74" s="522"/>
    </row>
    <row r="75" customFormat="false" ht="12.75" hidden="false" customHeight="false" outlineLevel="0" collapsed="false">
      <c r="A75" s="294" t="s">
        <v>538</v>
      </c>
      <c r="E75" s="612" t="e">
        <f aca="false">O51</f>
        <v>#REF!</v>
      </c>
      <c r="G75" s="521"/>
      <c r="H75" s="522"/>
      <c r="I75" s="522" t="n">
        <v>0</v>
      </c>
      <c r="J75" s="522"/>
      <c r="K75" s="522"/>
      <c r="L75" s="522"/>
      <c r="M75" s="522"/>
      <c r="N75" s="522"/>
      <c r="O75" s="522" t="n">
        <v>9.3</v>
      </c>
      <c r="P75" s="522"/>
      <c r="Q75" s="523"/>
      <c r="R75" s="522"/>
      <c r="S75" s="593" t="e">
        <f aca="false">+E75+SUM(G75:Q75)</f>
        <v>#REF!</v>
      </c>
    </row>
    <row r="76" customFormat="false" ht="12.75" hidden="false" customHeight="false" outlineLevel="0" collapsed="false">
      <c r="G76" s="521"/>
      <c r="H76" s="522"/>
      <c r="I76" s="522"/>
      <c r="J76" s="522"/>
      <c r="K76" s="522"/>
      <c r="L76" s="522"/>
      <c r="M76" s="522"/>
      <c r="N76" s="522"/>
      <c r="O76" s="522"/>
      <c r="P76" s="522"/>
      <c r="Q76" s="523"/>
      <c r="R76" s="522"/>
      <c r="S76" s="522"/>
    </row>
    <row r="77" customFormat="false" ht="12.75" hidden="false" customHeight="false" outlineLevel="0" collapsed="false">
      <c r="A77" s="294" t="s">
        <v>107</v>
      </c>
      <c r="E77" s="612" t="e">
        <f aca="false">E73+E75</f>
        <v>#REF!</v>
      </c>
      <c r="G77" s="605" t="n">
        <f aca="false">SUM(G67:G75)-G73</f>
        <v>0</v>
      </c>
      <c r="H77" s="599"/>
      <c r="I77" s="599" t="n">
        <f aca="false">SUM(I67:I75)-I73</f>
        <v>0</v>
      </c>
      <c r="J77" s="599"/>
      <c r="K77" s="599" t="n">
        <f aca="false">SUM(K67:K75)-K73</f>
        <v>0</v>
      </c>
      <c r="L77" s="599"/>
      <c r="M77" s="599" t="n">
        <f aca="false">SUM(M67:M75)-M73</f>
        <v>0</v>
      </c>
      <c r="N77" s="599"/>
      <c r="O77" s="599" t="n">
        <f aca="false">SUM(O73:O76)</f>
        <v>135.6</v>
      </c>
      <c r="P77" s="599"/>
      <c r="Q77" s="606"/>
      <c r="R77" s="522"/>
      <c r="S77" s="593" t="e">
        <f aca="false">+E77+SUM(G77:Q77)</f>
        <v>#REF!</v>
      </c>
    </row>
    <row r="80" customFormat="false" ht="12.75" hidden="false" customHeight="false" outlineLevel="0" collapsed="false">
      <c r="A80" s="294" t="s">
        <v>543</v>
      </c>
    </row>
    <row r="82" customFormat="false" ht="12.75" hidden="false" customHeight="false" outlineLevel="0" collapsed="false">
      <c r="A82" s="294" t="s">
        <v>544</v>
      </c>
    </row>
  </sheetData>
  <mergeCells count="7">
    <mergeCell ref="A1:Y1"/>
    <mergeCell ref="A2:Y2"/>
    <mergeCell ref="A3:Y3"/>
    <mergeCell ref="A4:Y4"/>
    <mergeCell ref="G8:W8"/>
    <mergeCell ref="G35:Q35"/>
    <mergeCell ref="G59:Q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3" man="true" max="16383" min="0"/>
    <brk id="57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1" ySplit="10" topLeftCell="B281" activePane="bottomRight" state="frozen"/>
      <selection pane="topLeft" activeCell="A1" activeCellId="0" sqref="A1"/>
      <selection pane="topRight" activeCell="B1" activeCellId="0" sqref="B1"/>
      <selection pane="bottomLeft" activeCell="A281" activeCellId="0" sqref="A281"/>
      <selection pane="bottomRight" activeCell="H301" activeCellId="0" sqref="H30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53" width="62.59"/>
    <col collapsed="false" customWidth="true" hidden="false" outlineLevel="0" max="6" min="2" style="54" width="19.78"/>
    <col collapsed="false" customWidth="true" hidden="false" outlineLevel="0" max="7" min="7" style="54" width="19.2"/>
    <col collapsed="false" customWidth="true" hidden="false" outlineLevel="0" max="11" min="8" style="54" width="15.39"/>
    <col collapsed="false" customWidth="true" hidden="false" outlineLevel="0" max="13" min="12" style="54" width="19.78"/>
    <col collapsed="false" customWidth="true" hidden="false" outlineLevel="0" max="14" min="14" style="55" width="21.78"/>
    <col collapsed="false" customWidth="true" hidden="false" outlineLevel="0" max="15" min="15" style="55" width="16.99"/>
    <col collapsed="false" customWidth="true" hidden="false" outlineLevel="0" max="16" min="16" style="54" width="16.99"/>
    <col collapsed="false" customWidth="true" hidden="false" outlineLevel="0" max="17" min="17" style="54" width="14.78"/>
    <col collapsed="false" customWidth="true" hidden="false" outlineLevel="0" max="18" min="18" style="54" width="15.59"/>
    <col collapsed="false" customWidth="true" hidden="false" outlineLevel="0" max="19" min="19" style="54" width="21.78"/>
    <col collapsed="false" customWidth="true" hidden="false" outlineLevel="0" max="21" min="20" style="55" width="16.99"/>
    <col collapsed="false" customWidth="true" hidden="false" outlineLevel="0" max="22" min="22" style="56" width="15.99"/>
    <col collapsed="false" customWidth="true" hidden="false" outlineLevel="0" max="23" min="23" style="54" width="16.78"/>
    <col collapsed="false" customWidth="true" hidden="false" outlineLevel="0" max="24" min="24" style="54" width="8.78"/>
    <col collapsed="false" customWidth="true" hidden="false" outlineLevel="0" max="25" min="25" style="54" width="6.78"/>
    <col collapsed="false" customWidth="true" hidden="false" outlineLevel="0" max="26" min="26" style="54" width="8.98"/>
    <col collapsed="false" customWidth="true" hidden="false" outlineLevel="0" max="27" min="27" style="54" width="6.78"/>
    <col collapsed="false" customWidth="true" hidden="false" outlineLevel="0" max="28" min="28" style="54" width="8.98"/>
    <col collapsed="false" customWidth="false" hidden="false" outlineLevel="0" max="257" min="29" style="54" width="9.59"/>
  </cols>
  <sheetData>
    <row r="1" customFormat="false" ht="12.75" hidden="false" customHeight="false" outlineLevel="0" collapsed="false">
      <c r="A1" s="57" t="s">
        <v>84</v>
      </c>
      <c r="B1" s="58" t="n">
        <v>31</v>
      </c>
      <c r="C1" s="59" t="n">
        <v>28</v>
      </c>
      <c r="D1" s="60" t="n">
        <v>31</v>
      </c>
      <c r="E1" s="60" t="n">
        <v>30</v>
      </c>
      <c r="F1" s="60" t="n">
        <v>31</v>
      </c>
      <c r="G1" s="60" t="n">
        <v>30</v>
      </c>
      <c r="H1" s="60" t="n">
        <v>31</v>
      </c>
      <c r="I1" s="60" t="n">
        <v>31</v>
      </c>
      <c r="J1" s="60" t="n">
        <v>30</v>
      </c>
      <c r="K1" s="60" t="n">
        <v>31</v>
      </c>
      <c r="L1" s="61" t="n">
        <v>30</v>
      </c>
      <c r="M1" s="62" t="n">
        <v>31</v>
      </c>
      <c r="N1" s="63" t="n">
        <f aca="false">SUM(B1:M1)</f>
        <v>365</v>
      </c>
      <c r="O1" s="63"/>
      <c r="P1" s="64" t="n">
        <f aca="false">AVERAGE(E1:G1)</f>
        <v>30.3333333333333</v>
      </c>
      <c r="Q1" s="62" t="n">
        <f aca="false">N1-P1</f>
        <v>334.666666666667</v>
      </c>
      <c r="R1" s="62" t="n">
        <f aca="false">N1</f>
        <v>365</v>
      </c>
      <c r="S1" s="64" t="e">
        <f aca="false">IF(#REF!=1,SUM(B1:D1),IF(#REF!=2,SUM(E1:G1),IF(#REF!=3,SUM(H1:J1),IF(#REF!=4,SUM(K1:M1),"    WRONG  "))))</f>
        <v>#REF!</v>
      </c>
      <c r="T1" s="63" t="n">
        <v>365</v>
      </c>
      <c r="U1" s="63" t="n">
        <v>365</v>
      </c>
    </row>
    <row r="2" customFormat="false" ht="0.75" hidden="false" customHeight="true" outlineLevel="0" collapsed="false">
      <c r="A2" s="60"/>
      <c r="B2" s="65" t="n">
        <f aca="false">5</f>
        <v>5</v>
      </c>
      <c r="C2" s="62" t="n">
        <v>2</v>
      </c>
      <c r="D2" s="62"/>
      <c r="E2" s="62"/>
      <c r="F2" s="62"/>
      <c r="G2" s="62"/>
      <c r="H2" s="62"/>
      <c r="I2" s="62"/>
      <c r="J2" s="62"/>
      <c r="K2" s="62"/>
      <c r="L2" s="62"/>
      <c r="M2" s="66"/>
      <c r="N2" s="63"/>
      <c r="O2" s="63"/>
      <c r="P2" s="62"/>
      <c r="Q2" s="62"/>
      <c r="R2" s="62"/>
      <c r="S2" s="62"/>
      <c r="T2" s="63"/>
      <c r="U2" s="63"/>
    </row>
    <row r="3" customFormat="false" ht="18" hidden="false" customHeight="false" outlineLevel="0" collapsed="false">
      <c r="A3" s="67" t="s">
        <v>85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8" hidden="false" customHeight="false" outlineLevel="0" collapsed="false">
      <c r="A4" s="67" t="s">
        <v>86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8" hidden="false" customHeight="false" outlineLevel="0" collapsed="false">
      <c r="A5" s="67" t="s">
        <v>87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8" hidden="false" customHeight="false" outlineLevel="0" collapsed="false">
      <c r="A6" s="69"/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  <c r="M6" s="71"/>
      <c r="N6" s="73"/>
      <c r="O6" s="73"/>
      <c r="P6" s="71"/>
      <c r="Q6" s="71"/>
      <c r="R6" s="71"/>
      <c r="S6" s="71"/>
      <c r="T6" s="73"/>
      <c r="U6" s="73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2.75" hidden="false" customHeight="false" outlineLevel="0" collapsed="false">
      <c r="A7" s="74" t="str">
        <f aca="true">CELL("FILENAME")</f>
        <v>'file:///mnt/12tb/@roms/datasets/enron/EDRM Enron Email Data Set v2 XML/filtered-attachments/xls/CE_3_2001.xls'#$Forecast01</v>
      </c>
      <c r="B7" s="75"/>
      <c r="C7" s="76"/>
      <c r="D7" s="76"/>
      <c r="E7" s="76"/>
      <c r="F7" s="76"/>
      <c r="G7" s="76"/>
      <c r="H7" s="76"/>
      <c r="I7" s="76"/>
      <c r="J7" s="0"/>
      <c r="K7" s="76"/>
      <c r="L7" s="77"/>
      <c r="M7" s="76"/>
      <c r="N7" s="0"/>
      <c r="O7" s="0"/>
      <c r="P7" s="76"/>
      <c r="Q7" s="76"/>
      <c r="R7" s="76"/>
      <c r="S7" s="76"/>
      <c r="T7" s="0"/>
      <c r="U7" s="0"/>
    </row>
    <row r="8" customFormat="false" ht="12.75" hidden="false" customHeight="false" outlineLevel="0" collapsed="false">
      <c r="A8" s="78" t="n">
        <f aca="true">NOW()</f>
        <v>45926.9978189115</v>
      </c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0"/>
      <c r="U8" s="0"/>
    </row>
    <row r="9" customFormat="false" ht="12.75" hidden="false" customHeight="false" outlineLevel="0" collapsed="false">
      <c r="A9" s="79"/>
      <c r="B9" s="76" t="s">
        <v>88</v>
      </c>
      <c r="C9" s="76" t="s">
        <v>88</v>
      </c>
      <c r="D9" s="76" t="s">
        <v>88</v>
      </c>
      <c r="E9" s="76" t="s">
        <v>88</v>
      </c>
      <c r="F9" s="76" t="s">
        <v>88</v>
      </c>
      <c r="G9" s="76" t="s">
        <v>88</v>
      </c>
      <c r="H9" s="76" t="s">
        <v>88</v>
      </c>
      <c r="I9" s="76" t="s">
        <v>88</v>
      </c>
      <c r="J9" s="80" t="s">
        <v>89</v>
      </c>
      <c r="K9" s="80" t="s">
        <v>90</v>
      </c>
      <c r="L9" s="80" t="s">
        <v>90</v>
      </c>
      <c r="M9" s="80" t="s">
        <v>90</v>
      </c>
      <c r="N9" s="80" t="s">
        <v>90</v>
      </c>
      <c r="O9" s="80" t="s">
        <v>91</v>
      </c>
      <c r="P9" s="80" t="s">
        <v>92</v>
      </c>
      <c r="Q9" s="80" t="s">
        <v>93</v>
      </c>
      <c r="R9" s="80" t="s">
        <v>94</v>
      </c>
      <c r="S9" s="81" t="s">
        <v>95</v>
      </c>
      <c r="T9" s="82"/>
      <c r="U9" s="82"/>
    </row>
    <row r="10" customFormat="false" ht="12.75" hidden="false" customHeight="false" outlineLevel="0" collapsed="false">
      <c r="A10" s="83"/>
      <c r="B10" s="84" t="s">
        <v>96</v>
      </c>
      <c r="C10" s="84" t="s">
        <v>97</v>
      </c>
      <c r="D10" s="84" t="s">
        <v>98</v>
      </c>
      <c r="E10" s="84" t="s">
        <v>99</v>
      </c>
      <c r="F10" s="84" t="s">
        <v>100</v>
      </c>
      <c r="G10" s="84" t="s">
        <v>101</v>
      </c>
      <c r="H10" s="84" t="s">
        <v>102</v>
      </c>
      <c r="I10" s="84" t="s">
        <v>103</v>
      </c>
      <c r="J10" s="84" t="s">
        <v>104</v>
      </c>
      <c r="K10" s="84" t="s">
        <v>3</v>
      </c>
      <c r="L10" s="84" t="s">
        <v>105</v>
      </c>
      <c r="M10" s="84" t="s">
        <v>106</v>
      </c>
      <c r="N10" s="85" t="s">
        <v>107</v>
      </c>
      <c r="O10" s="86" t="s">
        <v>90</v>
      </c>
      <c r="P10" s="86" t="s">
        <v>90</v>
      </c>
      <c r="Q10" s="86" t="str">
        <f aca="false">P10</f>
        <v>Forecast</v>
      </c>
      <c r="R10" s="86" t="str">
        <f aca="false">P10</f>
        <v>Forecast</v>
      </c>
      <c r="S10" s="86" t="s">
        <v>90</v>
      </c>
      <c r="T10" s="87" t="n">
        <v>2002</v>
      </c>
      <c r="U10" s="87" t="n">
        <v>2003</v>
      </c>
    </row>
    <row r="11" customFormat="false" ht="15.75" hidden="false" customHeight="false" outlineLevel="0" collapsed="false">
      <c r="A11" s="88" t="s">
        <v>108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90"/>
      <c r="P11" s="89"/>
      <c r="Q11" s="89"/>
      <c r="R11" s="89"/>
      <c r="S11" s="89"/>
      <c r="T11" s="90"/>
      <c r="U11" s="90"/>
    </row>
    <row r="12" customFormat="false" ht="15.75" hidden="false" customHeight="false" outlineLevel="0" collapsed="false">
      <c r="A12" s="91" t="s">
        <v>11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/>
      <c r="O12" s="90"/>
      <c r="P12" s="89"/>
      <c r="Q12" s="89"/>
      <c r="R12" s="89"/>
      <c r="S12" s="89"/>
      <c r="T12" s="90"/>
      <c r="U12" s="90"/>
    </row>
    <row r="13" customFormat="false" ht="12.75" hidden="false" customHeight="false" outlineLevel="0" collapsed="false">
      <c r="A13" s="92" t="s">
        <v>109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4"/>
      <c r="O13" s="94"/>
      <c r="P13" s="93"/>
      <c r="Q13" s="93"/>
      <c r="R13" s="93"/>
      <c r="S13" s="93"/>
      <c r="T13" s="94"/>
      <c r="U13" s="94"/>
    </row>
    <row r="14" customFormat="false" ht="12.75" hidden="false" customHeight="false" outlineLevel="0" collapsed="false">
      <c r="A14" s="95" t="s">
        <v>14</v>
      </c>
      <c r="B14" s="96" t="n">
        <v>265</v>
      </c>
      <c r="C14" s="96" t="n">
        <f aca="false">Detail!O125/Detail!O1/1000</f>
        <v>265</v>
      </c>
      <c r="D14" s="96" t="n">
        <v>265</v>
      </c>
      <c r="E14" s="96" t="n">
        <f aca="false">Detail!Q125/Detail!Q1/1000</f>
        <v>265</v>
      </c>
      <c r="F14" s="96" t="n">
        <f aca="false">265+1.3</f>
        <v>266.3</v>
      </c>
      <c r="G14" s="96" t="n">
        <f aca="false">262+1.3</f>
        <v>263.3</v>
      </c>
      <c r="H14" s="96" t="n">
        <f aca="false">240+1.3</f>
        <v>241.3</v>
      </c>
      <c r="I14" s="96" t="n">
        <f aca="false">240+1.3</f>
        <v>241.3</v>
      </c>
      <c r="J14" s="96" t="n">
        <f aca="false">Detail!V125/Detail!V1/1000</f>
        <v>266.3</v>
      </c>
      <c r="K14" s="96" t="n">
        <f aca="false">Detail!W125/Detail!W1/1000</f>
        <v>266.3</v>
      </c>
      <c r="L14" s="96" t="n">
        <f aca="false">Detail!X125/Detail!X1/1000</f>
        <v>266.3</v>
      </c>
      <c r="M14" s="96" t="n">
        <f aca="false">Detail!Y125/Detail!Y1/1000</f>
        <v>266.3</v>
      </c>
      <c r="N14" s="56" t="n">
        <f aca="false">SUM(B14:M14)/12</f>
        <v>261.45</v>
      </c>
      <c r="O14" s="97" t="n">
        <f aca="false">AVERAGE(B14:D14)</f>
        <v>265</v>
      </c>
      <c r="P14" s="97" t="n">
        <f aca="false">AVERAGE(E14:G14)</f>
        <v>264.866666666667</v>
      </c>
      <c r="Q14" s="97" t="n">
        <f aca="false">AVERAGE(H14:J14)</f>
        <v>249.633333333333</v>
      </c>
      <c r="R14" s="97" t="n">
        <f aca="false">AVERAGE(K14:M14)</f>
        <v>266.3</v>
      </c>
      <c r="S14" s="97" t="n">
        <f aca="false">AVERAGE(B14:M14)</f>
        <v>261.45</v>
      </c>
      <c r="T14" s="56" t="n">
        <v>265</v>
      </c>
      <c r="U14" s="56" t="n">
        <v>265</v>
      </c>
      <c r="W14" s="98" t="n">
        <v>60</v>
      </c>
      <c r="X14" s="98" t="n">
        <f aca="false">W14*0.85</f>
        <v>51</v>
      </c>
    </row>
    <row r="15" customFormat="false" ht="12.75" hidden="false" customHeight="false" outlineLevel="0" collapsed="false">
      <c r="A15" s="95" t="s">
        <v>110</v>
      </c>
      <c r="B15" s="96" t="n">
        <v>421.064</v>
      </c>
      <c r="C15" s="96" t="n">
        <v>423.369</v>
      </c>
      <c r="D15" s="96" t="n">
        <f aca="false">420.1+0.5</f>
        <v>420.6</v>
      </c>
      <c r="E15" s="96" t="n">
        <v>396.3</v>
      </c>
      <c r="F15" s="96" t="n">
        <f aca="false">333.1+0.8</f>
        <v>333.9</v>
      </c>
      <c r="G15" s="96" t="n">
        <f aca="false">332+0.9</f>
        <v>332.9</v>
      </c>
      <c r="H15" s="96" t="n">
        <f aca="false">301.6+1.2</f>
        <v>302.8</v>
      </c>
      <c r="I15" s="96" t="n">
        <f aca="false">296.7+1.2</f>
        <v>297.9</v>
      </c>
      <c r="J15" s="96" t="n">
        <v>419.8</v>
      </c>
      <c r="K15" s="96" t="n">
        <f aca="false">Detail!W139/Detail!W1/1000</f>
        <v>382.675806451613</v>
      </c>
      <c r="L15" s="96" t="n">
        <f aca="false">Detail!X139/Detail!X1/1000</f>
        <v>289.589333333333</v>
      </c>
      <c r="M15" s="96" t="n">
        <f aca="false">Detail!Y139/Detail!Y1/1000</f>
        <v>316.897</v>
      </c>
      <c r="N15" s="56" t="n">
        <f aca="false">SUM(B15:M15)/12</f>
        <v>361.482928315412</v>
      </c>
      <c r="O15" s="97" t="n">
        <f aca="false">AVERAGE(B15:D15)</f>
        <v>421.677666666667</v>
      </c>
      <c r="P15" s="97" t="n">
        <f aca="false">AVERAGE(E15:G15)</f>
        <v>354.366666666667</v>
      </c>
      <c r="Q15" s="97" t="n">
        <f aca="false">AVERAGE(H15:J15)</f>
        <v>340.166666666667</v>
      </c>
      <c r="R15" s="97" t="n">
        <f aca="false">AVERAGE(K15:M15)</f>
        <v>329.720713261649</v>
      </c>
      <c r="S15" s="97" t="n">
        <f aca="false">AVERAGE(B15:M15)</f>
        <v>361.482928315412</v>
      </c>
      <c r="T15" s="56" t="n">
        <v>376.979166666667</v>
      </c>
      <c r="U15" s="56" t="n">
        <v>376.979166666667</v>
      </c>
      <c r="W15" s="98" t="n">
        <v>60</v>
      </c>
      <c r="X15" s="98" t="n">
        <f aca="false">W15*0.85</f>
        <v>51</v>
      </c>
    </row>
    <row r="16" customFormat="false" ht="12.75" hidden="false" customHeight="false" outlineLevel="0" collapsed="false">
      <c r="A16" s="95" t="s">
        <v>111</v>
      </c>
      <c r="B16" s="96" t="n">
        <v>16.411</v>
      </c>
      <c r="C16" s="96" t="n">
        <v>14.117</v>
      </c>
      <c r="D16" s="96" t="n">
        <v>12.3</v>
      </c>
      <c r="E16" s="96" t="n">
        <v>9.7</v>
      </c>
      <c r="F16" s="96" t="n">
        <f aca="false">57.6</f>
        <v>57.6</v>
      </c>
      <c r="G16" s="96" t="n">
        <v>100</v>
      </c>
      <c r="H16" s="96" t="n">
        <v>148.4</v>
      </c>
      <c r="I16" s="96" t="n">
        <v>164.1</v>
      </c>
      <c r="J16" s="96" t="n">
        <v>0</v>
      </c>
      <c r="K16" s="96" t="n">
        <v>0</v>
      </c>
      <c r="L16" s="96" t="n">
        <v>0</v>
      </c>
      <c r="M16" s="96" t="n">
        <v>0</v>
      </c>
      <c r="N16" s="56" t="n">
        <f aca="false">SUM(B16:M16)/12</f>
        <v>43.5523333333333</v>
      </c>
      <c r="O16" s="97" t="n">
        <f aca="false">AVERAGE(B16:D16)</f>
        <v>14.276</v>
      </c>
      <c r="P16" s="97" t="n">
        <f aca="false">AVERAGE(E16:G16)</f>
        <v>55.7666666666667</v>
      </c>
      <c r="Q16" s="97" t="n">
        <f aca="false">AVERAGE(H16:J16)</f>
        <v>104.166666666667</v>
      </c>
      <c r="R16" s="97" t="n">
        <f aca="false">AVERAGE(K16:M16)</f>
        <v>0</v>
      </c>
      <c r="S16" s="97" t="n">
        <f aca="false">AVERAGE(B16:M16)</f>
        <v>43.5523333333333</v>
      </c>
      <c r="T16" s="56" t="n">
        <v>0</v>
      </c>
      <c r="U16" s="56" t="n">
        <v>0</v>
      </c>
      <c r="W16" s="98" t="n">
        <v>60</v>
      </c>
      <c r="X16" s="98" t="n">
        <f aca="false">W16*0.85</f>
        <v>51</v>
      </c>
    </row>
    <row r="17" customFormat="false" ht="12.75" hidden="false" customHeight="false" outlineLevel="0" collapsed="false">
      <c r="A17" s="95" t="s">
        <v>112</v>
      </c>
      <c r="B17" s="99" t="n">
        <v>1.12</v>
      </c>
      <c r="C17" s="99" t="n">
        <f aca="false">12.307+2.276</f>
        <v>14.583</v>
      </c>
      <c r="D17" s="99" t="n">
        <v>4.3</v>
      </c>
      <c r="E17" s="99" t="n">
        <v>171.5</v>
      </c>
      <c r="F17" s="99" t="n">
        <v>125.6</v>
      </c>
      <c r="G17" s="99" t="n">
        <v>56.9</v>
      </c>
      <c r="H17" s="99" t="n">
        <v>34</v>
      </c>
      <c r="I17" s="99" t="n">
        <v>33</v>
      </c>
      <c r="J17" s="99" t="n">
        <v>30</v>
      </c>
      <c r="K17" s="99" t="n">
        <v>0</v>
      </c>
      <c r="L17" s="99" t="n">
        <v>0</v>
      </c>
      <c r="M17" s="99" t="n">
        <v>0</v>
      </c>
      <c r="N17" s="100" t="n">
        <f aca="false">SUM(B17:M17)/12</f>
        <v>39.25025</v>
      </c>
      <c r="O17" s="97" t="n">
        <f aca="false">AVERAGE(B17:D17)</f>
        <v>6.66766666666667</v>
      </c>
      <c r="P17" s="97" t="n">
        <f aca="false">AVERAGE(E17:G17)</f>
        <v>118</v>
      </c>
      <c r="Q17" s="97" t="n">
        <f aca="false">AVERAGE(H17:J17)</f>
        <v>32.3333333333333</v>
      </c>
      <c r="R17" s="97" t="n">
        <f aca="false">AVERAGE(K17:M17)</f>
        <v>0</v>
      </c>
      <c r="S17" s="97" t="n">
        <f aca="false">AVERAGE(B17:M17)</f>
        <v>39.25025</v>
      </c>
      <c r="T17" s="100" t="n">
        <v>0</v>
      </c>
      <c r="U17" s="100" t="n">
        <v>0</v>
      </c>
      <c r="W17" s="98" t="n">
        <v>60</v>
      </c>
      <c r="X17" s="98" t="n">
        <f aca="false">W17*0.85</f>
        <v>51</v>
      </c>
    </row>
    <row r="18" customFormat="false" ht="12.75" hidden="false" customHeight="false" outlineLevel="0" collapsed="false">
      <c r="A18" s="92" t="s">
        <v>23</v>
      </c>
      <c r="B18" s="56" t="n">
        <f aca="false">SUM(B15:B17)</f>
        <v>438.595</v>
      </c>
      <c r="C18" s="56" t="n">
        <f aca="false">SUM(C15:C17)</f>
        <v>452.069</v>
      </c>
      <c r="D18" s="56" t="n">
        <f aca="false">SUM(D15:D17)</f>
        <v>437.2</v>
      </c>
      <c r="E18" s="56" t="n">
        <f aca="false">SUM(E15:E17)</f>
        <v>577.5</v>
      </c>
      <c r="F18" s="56" t="n">
        <f aca="false">SUM(F15:F17)</f>
        <v>517.1</v>
      </c>
      <c r="G18" s="56" t="n">
        <f aca="false">SUM(G15:G17)</f>
        <v>489.8</v>
      </c>
      <c r="H18" s="56" t="n">
        <f aca="false">SUM(H15:H17)</f>
        <v>485.2</v>
      </c>
      <c r="I18" s="56" t="n">
        <f aca="false">SUM(I15:I17)</f>
        <v>495</v>
      </c>
      <c r="J18" s="56" t="n">
        <f aca="false">SUM(J15:J17)</f>
        <v>449.8</v>
      </c>
      <c r="K18" s="56" t="n">
        <f aca="false">SUM(K15:K17)</f>
        <v>382.675806451613</v>
      </c>
      <c r="L18" s="56" t="n">
        <f aca="false">SUM(L15:L17)</f>
        <v>289.589333333333</v>
      </c>
      <c r="M18" s="56" t="n">
        <f aca="false">SUM(M15:M17)</f>
        <v>316.897</v>
      </c>
      <c r="N18" s="101" t="n">
        <f aca="false">SUM(N15:N17)</f>
        <v>444.285511648746</v>
      </c>
      <c r="O18" s="101" t="n">
        <f aca="false">SUM(O15:O17)</f>
        <v>442.621333333333</v>
      </c>
      <c r="P18" s="101" t="n">
        <f aca="false">SUM(P15:P17)</f>
        <v>528.133333333333</v>
      </c>
      <c r="Q18" s="101" t="n">
        <f aca="false">SUM(Q15:Q17)</f>
        <v>476.666666666667</v>
      </c>
      <c r="R18" s="101" t="n">
        <f aca="false">SUM(R15:R17)</f>
        <v>329.720713261649</v>
      </c>
      <c r="S18" s="102" t="n">
        <f aca="false">SUM(S15:S17)</f>
        <v>444.285511648746</v>
      </c>
      <c r="T18" s="56" t="n">
        <f aca="false">SUM(T15:T17)</f>
        <v>376.979166666667</v>
      </c>
      <c r="U18" s="56" t="n">
        <f aca="false">SUM(U15:U17)</f>
        <v>376.979166666667</v>
      </c>
      <c r="W18" s="98" t="n">
        <v>60</v>
      </c>
      <c r="X18" s="98" t="n">
        <f aca="false">W18*0.85</f>
        <v>51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2.75" hidden="false" customHeight="false" outlineLevel="0" collapsed="false">
      <c r="A19" s="9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94"/>
      <c r="Q19" s="94"/>
      <c r="R19" s="94"/>
      <c r="S19" s="94"/>
      <c r="T19" s="56"/>
      <c r="U19" s="56"/>
      <c r="W19" s="98" t="n">
        <v>60</v>
      </c>
      <c r="X19" s="98" t="n">
        <f aca="false">W19*0.85</f>
        <v>51</v>
      </c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12.75" hidden="false" customHeight="false" outlineLevel="0" collapsed="false">
      <c r="A20" s="92" t="s">
        <v>113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56"/>
      <c r="O20" s="56"/>
      <c r="P20" s="93"/>
      <c r="Q20" s="93"/>
      <c r="R20" s="93"/>
      <c r="S20" s="93"/>
      <c r="T20" s="56"/>
      <c r="U20" s="56"/>
      <c r="W20" s="98" t="n">
        <v>60</v>
      </c>
      <c r="X20" s="98" t="n">
        <f aca="false">W20*0.85</f>
        <v>51</v>
      </c>
    </row>
    <row r="21" customFormat="false" ht="12.75" hidden="false" customHeight="false" outlineLevel="0" collapsed="false">
      <c r="A21" s="95" t="s">
        <v>14</v>
      </c>
      <c r="B21" s="96" t="n">
        <v>598.027</v>
      </c>
      <c r="C21" s="96" t="n">
        <v>614.314</v>
      </c>
      <c r="D21" s="96" t="n">
        <v>604.5</v>
      </c>
      <c r="E21" s="96" t="n">
        <v>578.5</v>
      </c>
      <c r="F21" s="96" t="n">
        <v>581.9</v>
      </c>
      <c r="G21" s="96" t="n">
        <v>591.6</v>
      </c>
      <c r="H21" s="96" t="n">
        <v>578.5</v>
      </c>
      <c r="I21" s="96" t="n">
        <v>578.8</v>
      </c>
      <c r="J21" s="96" t="n">
        <v>578.5</v>
      </c>
      <c r="K21" s="96" t="n">
        <f aca="false">Detail!W28/Detail!W1/1000</f>
        <v>578</v>
      </c>
      <c r="L21" s="96" t="n">
        <f aca="false">Detail!X28/Detail!X1/1000</f>
        <v>598</v>
      </c>
      <c r="M21" s="96" t="n">
        <f aca="false">Detail!Y28/Detail!Y1/1000</f>
        <v>584.5</v>
      </c>
      <c r="N21" s="56" t="n">
        <f aca="false">SUM(B21:M21)/12</f>
        <v>588.76175</v>
      </c>
      <c r="O21" s="97" t="n">
        <f aca="false">AVERAGE(B21:D21)</f>
        <v>605.613666666667</v>
      </c>
      <c r="P21" s="97" t="n">
        <f aca="false">AVERAGE(E21:G21)</f>
        <v>584</v>
      </c>
      <c r="Q21" s="97" t="n">
        <f aca="false">AVERAGE(H21:J21)</f>
        <v>578.6</v>
      </c>
      <c r="R21" s="97" t="n">
        <f aca="false">AVERAGE(K21:M21)</f>
        <v>586.833333333333</v>
      </c>
      <c r="S21" s="97" t="n">
        <f aca="false">AVERAGE(B21:M21)</f>
        <v>588.76175</v>
      </c>
      <c r="T21" s="56" t="n">
        <v>603</v>
      </c>
      <c r="U21" s="56" t="n">
        <v>678</v>
      </c>
      <c r="W21" s="98" t="n">
        <v>60</v>
      </c>
      <c r="X21" s="98" t="n">
        <f aca="false">W21*0.85</f>
        <v>51</v>
      </c>
    </row>
    <row r="22" customFormat="false" ht="12.75" hidden="false" customHeight="false" outlineLevel="0" collapsed="false">
      <c r="A22" s="95" t="s">
        <v>110</v>
      </c>
      <c r="B22" s="96" t="n">
        <v>399.679</v>
      </c>
      <c r="C22" s="96" t="n">
        <v>404.061</v>
      </c>
      <c r="D22" s="96" t="n">
        <v>407.3</v>
      </c>
      <c r="E22" s="96" t="n">
        <v>312</v>
      </c>
      <c r="F22" s="96" t="n">
        <v>335.9</v>
      </c>
      <c r="G22" s="96" t="n">
        <v>356.5</v>
      </c>
      <c r="H22" s="96" t="n">
        <v>365.3</v>
      </c>
      <c r="I22" s="96" t="n">
        <v>383.4</v>
      </c>
      <c r="J22" s="96" t="n">
        <f aca="false">348.9+15</f>
        <v>363.9</v>
      </c>
      <c r="K22" s="96" t="n">
        <f aca="false">Detail!W51/Detail!W1/1000</f>
        <v>357.294</v>
      </c>
      <c r="L22" s="96" t="n">
        <f aca="false">Detail!X51/Detail!X1/1000</f>
        <v>427.58</v>
      </c>
      <c r="M22" s="96" t="n">
        <f aca="false">Detail!Y51/Detail!Y1/1000</f>
        <v>357.25</v>
      </c>
      <c r="N22" s="56" t="n">
        <f aca="false">SUM(B22:M22)/12</f>
        <v>372.513666666667</v>
      </c>
      <c r="O22" s="97" t="n">
        <f aca="false">AVERAGE(B22:D22)</f>
        <v>403.68</v>
      </c>
      <c r="P22" s="97" t="n">
        <f aca="false">AVERAGE(E22:G22)</f>
        <v>334.8</v>
      </c>
      <c r="Q22" s="97" t="n">
        <f aca="false">AVERAGE(H22:J22)</f>
        <v>370.866666666667</v>
      </c>
      <c r="R22" s="97" t="n">
        <f aca="false">AVERAGE(K22:M22)</f>
        <v>380.708</v>
      </c>
      <c r="S22" s="97" t="n">
        <f aca="false">AVERAGE(B22:M22)</f>
        <v>372.513666666667</v>
      </c>
      <c r="T22" s="56" t="n">
        <f aca="false">312.957+45.9</f>
        <v>358.857</v>
      </c>
      <c r="U22" s="56" t="n">
        <f aca="false">351.9+45.9</f>
        <v>397.8</v>
      </c>
      <c r="W22" s="98" t="n">
        <v>60</v>
      </c>
      <c r="X22" s="98" t="n">
        <f aca="false">W22*0.85</f>
        <v>51</v>
      </c>
    </row>
    <row r="23" customFormat="false" ht="12.75" hidden="false" customHeight="false" outlineLevel="0" collapsed="false">
      <c r="A23" s="95" t="s">
        <v>111</v>
      </c>
      <c r="B23" s="96" t="n">
        <v>9.428</v>
      </c>
      <c r="C23" s="96" t="n">
        <v>9.881</v>
      </c>
      <c r="D23" s="96" t="n">
        <v>9</v>
      </c>
      <c r="E23" s="96" t="n">
        <v>6.4</v>
      </c>
      <c r="F23" s="96" t="n">
        <v>7.5</v>
      </c>
      <c r="G23" s="96" t="n">
        <v>6.9</v>
      </c>
      <c r="H23" s="96" t="n">
        <v>4.6</v>
      </c>
      <c r="I23" s="96" t="n">
        <v>4.5</v>
      </c>
      <c r="J23" s="96" t="n">
        <v>0</v>
      </c>
      <c r="K23" s="96" t="n">
        <v>0</v>
      </c>
      <c r="L23" s="96" t="n">
        <v>0</v>
      </c>
      <c r="M23" s="96" t="n">
        <v>0</v>
      </c>
      <c r="N23" s="56" t="n">
        <f aca="false">SUM(B23:M23)/12</f>
        <v>4.85075</v>
      </c>
      <c r="O23" s="97" t="n">
        <f aca="false">AVERAGE(B23:D23)</f>
        <v>9.43633333333333</v>
      </c>
      <c r="P23" s="97" t="n">
        <f aca="false">AVERAGE(E23:G23)</f>
        <v>6.93333333333333</v>
      </c>
      <c r="Q23" s="97" t="n">
        <f aca="false">AVERAGE(H23:J23)</f>
        <v>3.03333333333333</v>
      </c>
      <c r="R23" s="97" t="n">
        <f aca="false">AVERAGE(K23:M23)</f>
        <v>0</v>
      </c>
      <c r="S23" s="97" t="n">
        <f aca="false">AVERAGE(B23:M23)</f>
        <v>4.85075</v>
      </c>
      <c r="T23" s="56" t="n">
        <v>0</v>
      </c>
      <c r="U23" s="56" t="n">
        <v>0</v>
      </c>
      <c r="W23" s="104" t="n">
        <v>560</v>
      </c>
      <c r="X23" s="98" t="n">
        <f aca="false">W23*0.85</f>
        <v>476</v>
      </c>
    </row>
    <row r="24" customFormat="false" ht="12.75" hidden="false" customHeight="false" outlineLevel="0" collapsed="false">
      <c r="A24" s="95" t="s">
        <v>114</v>
      </c>
      <c r="B24" s="96" t="n">
        <v>19.978</v>
      </c>
      <c r="C24" s="96"/>
      <c r="D24" s="96"/>
      <c r="E24" s="96" t="n">
        <v>0</v>
      </c>
      <c r="F24" s="96" t="n">
        <v>0</v>
      </c>
      <c r="G24" s="96" t="n">
        <v>0</v>
      </c>
      <c r="H24" s="96" t="n">
        <v>0</v>
      </c>
      <c r="I24" s="96" t="n">
        <v>0</v>
      </c>
      <c r="J24" s="96" t="n">
        <v>0</v>
      </c>
      <c r="K24" s="96" t="n">
        <f aca="false">Detail!W99/1000</f>
        <v>35</v>
      </c>
      <c r="L24" s="96" t="n">
        <f aca="false">Detail!X99/1000</f>
        <v>35</v>
      </c>
      <c r="M24" s="96" t="n">
        <f aca="false">Detail!Y99/1000</f>
        <v>65</v>
      </c>
      <c r="N24" s="105" t="n">
        <f aca="false">SUM(B24:M24)/12</f>
        <v>12.9148333333333</v>
      </c>
      <c r="O24" s="97" t="n">
        <f aca="false">AVERAGE(B24:D24)</f>
        <v>19.978</v>
      </c>
      <c r="P24" s="97" t="n">
        <f aca="false">AVERAGE(E24:G24)</f>
        <v>0</v>
      </c>
      <c r="Q24" s="97" t="n">
        <f aca="false">AVERAGE(H24:J24)</f>
        <v>0</v>
      </c>
      <c r="R24" s="97" t="n">
        <f aca="false">AVERAGE(K24:M24)</f>
        <v>45</v>
      </c>
      <c r="S24" s="97" t="n">
        <f aca="false">AVERAGE(B24:M24)</f>
        <v>15.4978</v>
      </c>
      <c r="T24" s="100" t="n">
        <v>18.75</v>
      </c>
      <c r="U24" s="100" t="n">
        <v>18.75</v>
      </c>
      <c r="W24" s="98" t="n">
        <v>560</v>
      </c>
      <c r="X24" s="98" t="n">
        <f aca="false">W24*0.85</f>
        <v>476</v>
      </c>
    </row>
    <row r="25" customFormat="false" ht="12.75" hidden="false" customHeight="false" outlineLevel="0" collapsed="false">
      <c r="A25" s="92" t="s">
        <v>26</v>
      </c>
      <c r="B25" s="56" t="n">
        <f aca="false">SUM(B22:B24)</f>
        <v>429.085</v>
      </c>
      <c r="C25" s="56" t="n">
        <f aca="false">SUM(C22:C24)</f>
        <v>413.942</v>
      </c>
      <c r="D25" s="56" t="n">
        <f aca="false">SUM(D22:D24)</f>
        <v>416.3</v>
      </c>
      <c r="E25" s="56" t="n">
        <f aca="false">SUM(E22:E24)</f>
        <v>318.4</v>
      </c>
      <c r="F25" s="56" t="n">
        <f aca="false">SUM(F22:F24)</f>
        <v>343.4</v>
      </c>
      <c r="G25" s="56" t="n">
        <f aca="false">SUM(G22:G24)</f>
        <v>363.4</v>
      </c>
      <c r="H25" s="56" t="n">
        <f aca="false">SUM(H22:H24)</f>
        <v>369.9</v>
      </c>
      <c r="I25" s="56" t="n">
        <f aca="false">SUM(I22:I24)</f>
        <v>387.9</v>
      </c>
      <c r="J25" s="56" t="n">
        <f aca="false">SUM(J22:J24)</f>
        <v>363.9</v>
      </c>
      <c r="K25" s="56" t="n">
        <f aca="false">SUM(K22:K24)</f>
        <v>392.294</v>
      </c>
      <c r="L25" s="56" t="n">
        <f aca="false">SUM(L22:L24)</f>
        <v>462.58</v>
      </c>
      <c r="M25" s="56" t="n">
        <f aca="false">SUM(M22:M24)</f>
        <v>422.25</v>
      </c>
      <c r="N25" s="101" t="n">
        <f aca="false">SUM(N22:N24)</f>
        <v>390.27925</v>
      </c>
      <c r="O25" s="101" t="n">
        <f aca="false">SUM(O22:O24)</f>
        <v>433.094333333333</v>
      </c>
      <c r="P25" s="101" t="n">
        <f aca="false">SUM(P22:P24)</f>
        <v>341.733333333333</v>
      </c>
      <c r="Q25" s="101" t="n">
        <f aca="false">SUM(Q22:Q24)</f>
        <v>373.9</v>
      </c>
      <c r="R25" s="101" t="n">
        <f aca="false">SUM(R22:R24)</f>
        <v>425.708</v>
      </c>
      <c r="S25" s="102" t="n">
        <f aca="false">SUM(S22:S24)</f>
        <v>392.862216666667</v>
      </c>
      <c r="T25" s="56" t="n">
        <f aca="false">SUM(T22:T24)</f>
        <v>377.607</v>
      </c>
      <c r="U25" s="56" t="n">
        <f aca="false">SUM(U22:U24)</f>
        <v>416.55</v>
      </c>
      <c r="W25" s="98" t="n">
        <v>560</v>
      </c>
      <c r="X25" s="98" t="n">
        <f aca="false">W25*0.85</f>
        <v>476</v>
      </c>
    </row>
    <row r="26" customFormat="false" ht="12.75" hidden="false" customHeight="false" outlineLevel="0" collapsed="false">
      <c r="A26" s="9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4"/>
      <c r="Q26" s="94"/>
      <c r="R26" s="94"/>
      <c r="S26" s="94"/>
      <c r="T26" s="56"/>
      <c r="U26" s="56"/>
      <c r="W26" s="98"/>
    </row>
    <row r="27" customFormat="false" ht="12.75" hidden="false" customHeight="false" outlineLevel="0" collapsed="false">
      <c r="A27" s="9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56"/>
      <c r="O27" s="56"/>
      <c r="P27" s="93"/>
      <c r="Q27" s="93"/>
      <c r="R27" s="93"/>
      <c r="S27" s="93"/>
      <c r="T27" s="56"/>
      <c r="U27" s="56"/>
      <c r="W27" s="104" t="n">
        <v>678</v>
      </c>
      <c r="X27" s="98" t="n">
        <f aca="false">W27*0.519</f>
        <v>351.882</v>
      </c>
    </row>
    <row r="28" customFormat="false" ht="12.75" hidden="false" customHeight="false" outlineLevel="0" collapsed="false">
      <c r="A28" s="95" t="s">
        <v>14</v>
      </c>
      <c r="B28" s="96" t="n">
        <f aca="false">[1]Detail!N226/[1]Detail!N1/1000</f>
        <v>60</v>
      </c>
      <c r="C28" s="96" t="n">
        <f aca="false">Detail!O255/Detail!O1/1000</f>
        <v>60</v>
      </c>
      <c r="D28" s="96" t="n">
        <v>60</v>
      </c>
      <c r="E28" s="96" t="n">
        <v>52</v>
      </c>
      <c r="F28" s="96" t="n">
        <f aca="false">Detail!R255/Detail!R1/1000</f>
        <v>60</v>
      </c>
      <c r="G28" s="96" t="n">
        <f aca="false">Detail!S255/Detail!S1/1000</f>
        <v>60</v>
      </c>
      <c r="H28" s="96" t="n">
        <f aca="false">Detail!T255/Detail!T1/1000</f>
        <v>60</v>
      </c>
      <c r="I28" s="106" t="n">
        <v>60</v>
      </c>
      <c r="J28" s="96" t="n">
        <f aca="false">Detail!V255/Detail!V1/1000</f>
        <v>60</v>
      </c>
      <c r="K28" s="96" t="n">
        <f aca="false">Detail!W255/Detail!W1/1000</f>
        <v>60</v>
      </c>
      <c r="L28" s="96" t="n">
        <f aca="false">Detail!X255/Detail!X1/1000</f>
        <v>60</v>
      </c>
      <c r="M28" s="96" t="n">
        <f aca="false">Detail!Y255/Detail!Y1/1000</f>
        <v>60</v>
      </c>
      <c r="N28" s="56" t="n">
        <f aca="false">SUM(B28:M28)/12</f>
        <v>59.3333333333333</v>
      </c>
      <c r="O28" s="97" t="n">
        <f aca="false">AVERAGE(B28:D28)</f>
        <v>60</v>
      </c>
      <c r="P28" s="97" t="n">
        <f aca="false">AVERAGE(E28:G28)</f>
        <v>57.3333333333333</v>
      </c>
      <c r="Q28" s="97" t="n">
        <f aca="false">AVERAGE(H28:J28)</f>
        <v>60</v>
      </c>
      <c r="R28" s="97" t="n">
        <f aca="false">AVERAGE(K28:M28)</f>
        <v>60</v>
      </c>
      <c r="S28" s="97" t="n">
        <f aca="false">AVERAGE(B28:M28)</f>
        <v>59.3333333333333</v>
      </c>
      <c r="T28" s="56" t="n">
        <v>185</v>
      </c>
      <c r="U28" s="56" t="n">
        <v>560</v>
      </c>
      <c r="W28" s="104" t="n">
        <v>678</v>
      </c>
      <c r="X28" s="98" t="n">
        <f aca="false">W28*0.519</f>
        <v>351.882</v>
      </c>
    </row>
    <row r="29" customFormat="false" ht="12.75" hidden="false" customHeight="false" outlineLevel="0" collapsed="false">
      <c r="A29" s="95" t="s">
        <v>110</v>
      </c>
      <c r="B29" s="96" t="n">
        <v>59.594</v>
      </c>
      <c r="C29" s="96" t="n">
        <v>58.695</v>
      </c>
      <c r="D29" s="96" t="n">
        <v>58.4</v>
      </c>
      <c r="E29" s="96" t="n">
        <v>44.3</v>
      </c>
      <c r="F29" s="96" t="n">
        <v>55.3</v>
      </c>
      <c r="G29" s="96" t="n">
        <v>55.9</v>
      </c>
      <c r="H29" s="96" t="n">
        <v>57.9</v>
      </c>
      <c r="I29" s="106" t="n">
        <v>57.4</v>
      </c>
      <c r="J29" s="96" t="n">
        <v>53.9</v>
      </c>
      <c r="K29" s="96" t="n">
        <f aca="false">Detail!W262/Detail!W1/1000</f>
        <v>51</v>
      </c>
      <c r="L29" s="96" t="n">
        <f aca="false">Detail!X262/Detail!X1/1000</f>
        <v>51</v>
      </c>
      <c r="M29" s="96" t="n">
        <f aca="false">Detail!Y262/Detail!Y1/1000</f>
        <v>51</v>
      </c>
      <c r="N29" s="56" t="n">
        <f aca="false">SUM(B29:M29)/12</f>
        <v>54.5324166666667</v>
      </c>
      <c r="O29" s="97" t="n">
        <f aca="false">AVERAGE(B29:D29)</f>
        <v>58.8963333333333</v>
      </c>
      <c r="P29" s="97" t="n">
        <f aca="false">AVERAGE(E29:G29)</f>
        <v>51.8333333333333</v>
      </c>
      <c r="Q29" s="97" t="n">
        <f aca="false">AVERAGE(H29:J29)</f>
        <v>56.4</v>
      </c>
      <c r="R29" s="97" t="n">
        <f aca="false">AVERAGE(K29:M29)</f>
        <v>51</v>
      </c>
      <c r="S29" s="97" t="n">
        <f aca="false">AVERAGE(B29:M29)</f>
        <v>54.5324166666667</v>
      </c>
      <c r="T29" s="56" t="n">
        <v>157.25</v>
      </c>
      <c r="U29" s="56" t="n">
        <v>476</v>
      </c>
      <c r="W29" s="104" t="n">
        <v>678</v>
      </c>
      <c r="X29" s="98" t="n">
        <f aca="false">W29*0.519</f>
        <v>351.882</v>
      </c>
    </row>
    <row r="30" customFormat="false" ht="12.75" hidden="false" customHeight="false" outlineLevel="0" collapsed="false">
      <c r="A30" s="107"/>
      <c r="B30" s="96" t="n">
        <v>0</v>
      </c>
      <c r="C30" s="96" t="n">
        <v>0</v>
      </c>
      <c r="D30" s="96" t="n">
        <v>0</v>
      </c>
      <c r="E30" s="96" t="n">
        <v>0</v>
      </c>
      <c r="F30" s="96" t="n">
        <v>0</v>
      </c>
      <c r="G30" s="96" t="n">
        <v>0</v>
      </c>
      <c r="H30" s="96" t="n">
        <v>0</v>
      </c>
      <c r="I30" s="96" t="n">
        <v>0</v>
      </c>
      <c r="J30" s="96" t="n">
        <v>0</v>
      </c>
      <c r="K30" s="96" t="n">
        <v>0</v>
      </c>
      <c r="L30" s="96" t="n">
        <f aca="false">9.3-9.3</f>
        <v>0</v>
      </c>
      <c r="M30" s="96" t="n">
        <f aca="false">9.5-9.5</f>
        <v>0</v>
      </c>
      <c r="N30" s="56" t="n">
        <f aca="false">SUM(B30:M30)/12</f>
        <v>0</v>
      </c>
      <c r="O30" s="97" t="n">
        <f aca="false">AVERAGE(B30:D30)</f>
        <v>0</v>
      </c>
      <c r="P30" s="97" t="n">
        <f aca="false">AVERAGE(E30:G30)</f>
        <v>0</v>
      </c>
      <c r="Q30" s="97" t="n">
        <f aca="false">AVERAGE(H30:J30)</f>
        <v>0</v>
      </c>
      <c r="R30" s="97" t="n">
        <f aca="false">AVERAGE(K30:M30)</f>
        <v>0</v>
      </c>
      <c r="S30" s="97" t="n">
        <f aca="false">AVERAGE(B30:M30)</f>
        <v>0</v>
      </c>
      <c r="T30" s="56" t="n">
        <v>0</v>
      </c>
      <c r="U30" s="56" t="n">
        <v>0</v>
      </c>
      <c r="W30" s="104" t="n">
        <v>678</v>
      </c>
      <c r="X30" s="98" t="n">
        <f aca="false">W30*0.519</f>
        <v>351.882</v>
      </c>
    </row>
    <row r="31" customFormat="false" ht="12.75" hidden="false" customHeight="false" outlineLevel="0" collapsed="false">
      <c r="A31" s="95" t="s">
        <v>114</v>
      </c>
      <c r="B31" s="96" t="n">
        <v>0</v>
      </c>
      <c r="C31" s="96" t="n">
        <v>0</v>
      </c>
      <c r="D31" s="96" t="n">
        <v>0</v>
      </c>
      <c r="E31" s="96" t="n">
        <v>0</v>
      </c>
      <c r="F31" s="96" t="n">
        <v>0</v>
      </c>
      <c r="G31" s="96" t="n">
        <v>0</v>
      </c>
      <c r="H31" s="96" t="n">
        <v>0</v>
      </c>
      <c r="I31" s="96" t="n">
        <v>0</v>
      </c>
      <c r="J31" s="96" t="n">
        <v>0</v>
      </c>
      <c r="K31" s="96" t="n">
        <v>0</v>
      </c>
      <c r="L31" s="96" t="n">
        <v>0</v>
      </c>
      <c r="M31" s="96" t="n">
        <v>0</v>
      </c>
      <c r="N31" s="105" t="n">
        <f aca="false">SUM(B31:M31)/12</f>
        <v>0</v>
      </c>
      <c r="O31" s="97" t="n">
        <f aca="false">AVERAGE(B31:D31)</f>
        <v>0</v>
      </c>
      <c r="P31" s="97" t="n">
        <f aca="false">AVERAGE(E31:G31)</f>
        <v>0</v>
      </c>
      <c r="Q31" s="97" t="n">
        <f aca="false">AVERAGE(H31:J31)</f>
        <v>0</v>
      </c>
      <c r="R31" s="97" t="n">
        <f aca="false">AVERAGE(K31:M31)</f>
        <v>0</v>
      </c>
      <c r="S31" s="97" t="n">
        <f aca="false">AVERAGE(B31:M31)</f>
        <v>0</v>
      </c>
      <c r="T31" s="100" t="n">
        <v>0</v>
      </c>
      <c r="U31" s="100" t="n">
        <v>0</v>
      </c>
      <c r="W31" s="104" t="n">
        <v>678</v>
      </c>
      <c r="X31" s="98" t="n">
        <f aca="false">W31*0.519</f>
        <v>351.882</v>
      </c>
    </row>
    <row r="32" customFormat="false" ht="12.75" hidden="false" customHeight="false" outlineLevel="0" collapsed="false">
      <c r="A32" s="92" t="s">
        <v>28</v>
      </c>
      <c r="B32" s="56" t="n">
        <f aca="false">SUM(B29:B31)</f>
        <v>59.594</v>
      </c>
      <c r="C32" s="56" t="n">
        <f aca="false">SUM(C29:C31)</f>
        <v>58.695</v>
      </c>
      <c r="D32" s="56" t="n">
        <f aca="false">SUM(D29:D31)</f>
        <v>58.4</v>
      </c>
      <c r="E32" s="56" t="n">
        <f aca="false">SUM(E29:E31)</f>
        <v>44.3</v>
      </c>
      <c r="F32" s="56" t="n">
        <f aca="false">SUM(F29:F31)</f>
        <v>55.3</v>
      </c>
      <c r="G32" s="56" t="n">
        <f aca="false">SUM(G29:G31)</f>
        <v>55.9</v>
      </c>
      <c r="H32" s="56" t="n">
        <f aca="false">SUM(H29:H31)</f>
        <v>57.9</v>
      </c>
      <c r="I32" s="56" t="n">
        <f aca="false">SUM(I29:I31)</f>
        <v>57.4</v>
      </c>
      <c r="J32" s="56" t="n">
        <f aca="false">SUM(J29:J31)</f>
        <v>53.9</v>
      </c>
      <c r="K32" s="56" t="n">
        <f aca="false">SUM(K29:K31)</f>
        <v>51</v>
      </c>
      <c r="L32" s="56" t="n">
        <f aca="false">SUM(L29:L31)</f>
        <v>51</v>
      </c>
      <c r="M32" s="56" t="n">
        <f aca="false">SUM(M29:M31)</f>
        <v>51</v>
      </c>
      <c r="N32" s="101" t="n">
        <f aca="false">SUM(N29:N31)</f>
        <v>54.5324166666667</v>
      </c>
      <c r="O32" s="101" t="n">
        <f aca="false">SUM(O29:O31)</f>
        <v>58.8963333333333</v>
      </c>
      <c r="P32" s="101" t="n">
        <f aca="false">SUM(P29:P31)</f>
        <v>51.8333333333333</v>
      </c>
      <c r="Q32" s="101" t="n">
        <f aca="false">SUM(Q29:Q31)</f>
        <v>56.4</v>
      </c>
      <c r="R32" s="101" t="n">
        <f aca="false">SUM(R29:R31)</f>
        <v>51</v>
      </c>
      <c r="S32" s="102" t="n">
        <f aca="false">SUM(S29:S31)</f>
        <v>54.5324166666667</v>
      </c>
      <c r="T32" s="56" t="n">
        <f aca="false">SUM(T29:T31)</f>
        <v>157.25</v>
      </c>
      <c r="U32" s="56" t="n">
        <f aca="false">SUM(U29:U31)</f>
        <v>476</v>
      </c>
      <c r="W32" s="104" t="n">
        <v>678</v>
      </c>
      <c r="X32" s="98" t="n">
        <f aca="false">W32*0.519</f>
        <v>351.882</v>
      </c>
    </row>
    <row r="33" customFormat="false" ht="12.75" hidden="false" customHeight="false" outlineLevel="0" collapsed="false">
      <c r="A33" s="92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4"/>
      <c r="Q33" s="94"/>
      <c r="R33" s="94"/>
      <c r="S33" s="94"/>
      <c r="T33" s="56"/>
      <c r="U33" s="56"/>
      <c r="W33" s="104" t="n">
        <v>678</v>
      </c>
      <c r="X33" s="98" t="n">
        <f aca="false">W33*0.519</f>
        <v>351.882</v>
      </c>
    </row>
    <row r="34" customFormat="false" ht="12.75" hidden="false" customHeight="false" outlineLevel="0" collapsed="false">
      <c r="A34" s="92" t="s">
        <v>115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56"/>
      <c r="O34" s="56"/>
      <c r="P34" s="93"/>
      <c r="Q34" s="93"/>
      <c r="R34" s="93"/>
      <c r="S34" s="93"/>
      <c r="T34" s="56"/>
      <c r="U34" s="56"/>
      <c r="W34" s="104" t="n">
        <v>678</v>
      </c>
      <c r="X34" s="98" t="n">
        <f aca="false">W34*0.519</f>
        <v>351.882</v>
      </c>
    </row>
    <row r="35" customFormat="false" ht="12.75" hidden="false" customHeight="false" outlineLevel="0" collapsed="false">
      <c r="A35" s="95" t="s">
        <v>14</v>
      </c>
      <c r="B35" s="96" t="n">
        <v>183.6</v>
      </c>
      <c r="C35" s="96" t="n">
        <v>193.6</v>
      </c>
      <c r="D35" s="96" t="n">
        <v>192.6</v>
      </c>
      <c r="E35" s="96" t="n">
        <v>191.6</v>
      </c>
      <c r="F35" s="96" t="n">
        <v>180.2</v>
      </c>
      <c r="G35" s="96" t="n">
        <f aca="false">Detail!S202/Detail!S1/1000</f>
        <v>183.6</v>
      </c>
      <c r="H35" s="96" t="n">
        <v>173.9</v>
      </c>
      <c r="I35" s="96" t="n">
        <v>183.3</v>
      </c>
      <c r="J35" s="96" t="n">
        <f aca="false">Detail!V202/Detail!V1/1000</f>
        <v>183.6</v>
      </c>
      <c r="K35" s="96" t="n">
        <f aca="false">Detail!W202/Detail!W1/1000</f>
        <v>183.6</v>
      </c>
      <c r="L35" s="96" t="n">
        <f aca="false">Detail!X202/Detail!X1/1000</f>
        <v>198.6</v>
      </c>
      <c r="M35" s="96" t="n">
        <f aca="false">Detail!Y202/Detail!Y1/1000</f>
        <v>212.1</v>
      </c>
      <c r="N35" s="56" t="n">
        <f aca="false">SUM(B35:M35)/12</f>
        <v>188.358333333333</v>
      </c>
      <c r="O35" s="97" t="n">
        <f aca="false">AVERAGE(B35:D35)</f>
        <v>189.933333333333</v>
      </c>
      <c r="P35" s="97" t="n">
        <f aca="false">AVERAGE(E35:G35)</f>
        <v>185.133333333333</v>
      </c>
      <c r="Q35" s="97" t="n">
        <f aca="false">AVERAGE(H35:J35)</f>
        <v>180.266666666667</v>
      </c>
      <c r="R35" s="97" t="n">
        <f aca="false">AVERAGE(K35:M35)</f>
        <v>198.1</v>
      </c>
      <c r="S35" s="97" t="n">
        <f aca="false">AVERAGE(B35:M35)</f>
        <v>188.358333333333</v>
      </c>
      <c r="T35" s="56" t="n">
        <v>183.6</v>
      </c>
      <c r="U35" s="56" t="n">
        <v>183.6</v>
      </c>
      <c r="W35" s="104" t="n">
        <v>678</v>
      </c>
      <c r="X35" s="98" t="n">
        <f aca="false">W35*0.519</f>
        <v>351.882</v>
      </c>
    </row>
    <row r="36" customFormat="false" ht="12.75" hidden="false" customHeight="false" outlineLevel="0" collapsed="false">
      <c r="A36" s="95" t="s">
        <v>110</v>
      </c>
      <c r="B36" s="96" t="n">
        <v>180.06</v>
      </c>
      <c r="C36" s="96" t="n">
        <v>194.553</v>
      </c>
      <c r="D36" s="96" t="n">
        <v>198</v>
      </c>
      <c r="E36" s="96" t="n">
        <v>163.5</v>
      </c>
      <c r="F36" s="96" t="n">
        <v>159.3</v>
      </c>
      <c r="G36" s="96" t="n">
        <v>172.2</v>
      </c>
      <c r="H36" s="96" t="n">
        <v>177.5</v>
      </c>
      <c r="I36" s="96" t="n">
        <v>166.5</v>
      </c>
      <c r="J36" s="96" t="n">
        <v>152.6</v>
      </c>
      <c r="K36" s="96" t="n">
        <f aca="false">Detail!W217/Detail!W1/1000</f>
        <v>174.42</v>
      </c>
      <c r="L36" s="96" t="n">
        <f aca="false">Detail!X217/Detail!X1/1000</f>
        <v>198.6</v>
      </c>
      <c r="M36" s="96" t="n">
        <f aca="false">Detail!Y217/Detail!Y1/1000</f>
        <v>208.158</v>
      </c>
      <c r="N36" s="56" t="n">
        <f aca="false">SUM(B36:M36)/12</f>
        <v>178.782583333333</v>
      </c>
      <c r="O36" s="97" t="n">
        <f aca="false">AVERAGE(B36:D36)</f>
        <v>190.871</v>
      </c>
      <c r="P36" s="97" t="n">
        <f aca="false">AVERAGE(E36:G36)</f>
        <v>165</v>
      </c>
      <c r="Q36" s="97" t="n">
        <f aca="false">AVERAGE(H36:J36)</f>
        <v>165.533333333333</v>
      </c>
      <c r="R36" s="97" t="n">
        <f aca="false">AVERAGE(K36:M36)</f>
        <v>193.726</v>
      </c>
      <c r="S36" s="97" t="n">
        <f aca="false">AVERAGE(B36:M36)</f>
        <v>178.782583333333</v>
      </c>
      <c r="T36" s="56" t="n">
        <f aca="false">163.098+9.1</f>
        <v>172.198</v>
      </c>
      <c r="U36" s="56" t="n">
        <f aca="false">163.098+9.1</f>
        <v>172.198</v>
      </c>
      <c r="W36" s="104" t="n">
        <v>678</v>
      </c>
      <c r="X36" s="98" t="n">
        <f aca="false">W36*0.519</f>
        <v>351.882</v>
      </c>
    </row>
    <row r="37" customFormat="false" ht="12.75" hidden="false" customHeight="false" outlineLevel="0" collapsed="false">
      <c r="A37" s="95" t="s">
        <v>111</v>
      </c>
      <c r="B37" s="96" t="n">
        <v>0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56" t="n">
        <f aca="false">SUM(B37:M37)/12</f>
        <v>0</v>
      </c>
      <c r="O37" s="97" t="n">
        <f aca="false">AVERAGE(B37:D37)</f>
        <v>0</v>
      </c>
      <c r="P37" s="97" t="n">
        <f aca="false">AVERAGE(E37:G37)</f>
        <v>0</v>
      </c>
      <c r="Q37" s="97" t="n">
        <f aca="false">AVERAGE(H37:J37)</f>
        <v>0</v>
      </c>
      <c r="R37" s="97" t="n">
        <f aca="false">AVERAGE(K37:M37)</f>
        <v>0</v>
      </c>
      <c r="S37" s="97" t="n">
        <f aca="false">AVERAGE(B37:M37)</f>
        <v>0</v>
      </c>
      <c r="T37" s="56" t="n">
        <v>0</v>
      </c>
      <c r="U37" s="56" t="n">
        <v>0</v>
      </c>
      <c r="W37" s="104" t="n">
        <v>678</v>
      </c>
      <c r="X37" s="98" t="n">
        <f aca="false">W37*0.519</f>
        <v>351.882</v>
      </c>
    </row>
    <row r="38" customFormat="false" ht="12.75" hidden="false" customHeight="false" outlineLevel="0" collapsed="false">
      <c r="A38" s="95" t="s">
        <v>30</v>
      </c>
      <c r="B38" s="96" t="n">
        <v>1.29</v>
      </c>
      <c r="C38" s="96" t="n">
        <v>0</v>
      </c>
      <c r="D38" s="96"/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56" t="n">
        <f aca="false">SUM(B38:M38)/12</f>
        <v>0.1075</v>
      </c>
      <c r="O38" s="97" t="n">
        <f aca="false">AVERAGE(B38:D38)</f>
        <v>0.645</v>
      </c>
      <c r="P38" s="97" t="n">
        <f aca="false">AVERAGE(E38:G38)</f>
        <v>0</v>
      </c>
      <c r="Q38" s="97" t="n">
        <f aca="false">AVERAGE(H38:J38)</f>
        <v>0</v>
      </c>
      <c r="R38" s="97" t="n">
        <f aca="false">AVERAGE(K38:M38)</f>
        <v>0</v>
      </c>
      <c r="S38" s="97" t="n">
        <f aca="false">AVERAGE(B38:M38)</f>
        <v>0.117272727272727</v>
      </c>
      <c r="T38" s="56"/>
      <c r="U38" s="56"/>
      <c r="W38" s="104" t="n">
        <v>678</v>
      </c>
      <c r="X38" s="98" t="n">
        <f aca="false">W38*0.519</f>
        <v>351.882</v>
      </c>
    </row>
    <row r="39" customFormat="false" ht="12.75" hidden="false" customHeight="false" outlineLevel="0" collapsed="false">
      <c r="A39" s="95" t="s">
        <v>114</v>
      </c>
      <c r="B39" s="99" t="n">
        <v>0</v>
      </c>
      <c r="C39" s="99" t="n">
        <v>0</v>
      </c>
      <c r="D39" s="99" t="n">
        <v>0</v>
      </c>
      <c r="E39" s="99" t="n">
        <v>0</v>
      </c>
      <c r="F39" s="99" t="n">
        <v>0</v>
      </c>
      <c r="G39" s="99" t="n">
        <v>-8.6</v>
      </c>
      <c r="H39" s="99" t="n">
        <v>0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100" t="n">
        <f aca="false">SUM(B39:M39)/12</f>
        <v>-0.716666666666667</v>
      </c>
      <c r="O39" s="97" t="n">
        <f aca="false">AVERAGE(B39:D39)</f>
        <v>0</v>
      </c>
      <c r="P39" s="97" t="n">
        <f aca="false">AVERAGE(E39:G39)</f>
        <v>-2.86666666666667</v>
      </c>
      <c r="Q39" s="97" t="n">
        <f aca="false">AVERAGE(H39:J39)</f>
        <v>0</v>
      </c>
      <c r="R39" s="97" t="n">
        <f aca="false">AVERAGE(K39:M39)</f>
        <v>0</v>
      </c>
      <c r="S39" s="97" t="n">
        <f aca="false">AVERAGE(B39:M39)</f>
        <v>-0.716666666666667</v>
      </c>
      <c r="T39" s="100" t="n">
        <v>0</v>
      </c>
      <c r="U39" s="100" t="n">
        <v>0</v>
      </c>
      <c r="X39" s="108"/>
    </row>
    <row r="40" customFormat="false" ht="12.75" hidden="false" customHeight="false" outlineLevel="0" collapsed="false">
      <c r="A40" s="92" t="s">
        <v>31</v>
      </c>
      <c r="B40" s="56" t="n">
        <f aca="false">SUM(B36:B39)</f>
        <v>181.35</v>
      </c>
      <c r="C40" s="56" t="n">
        <f aca="false">SUM(C36:C39)</f>
        <v>194.553</v>
      </c>
      <c r="D40" s="56" t="n">
        <f aca="false">SUM(D36:D39)</f>
        <v>198</v>
      </c>
      <c r="E40" s="56" t="n">
        <f aca="false">SUM(E36:E39)</f>
        <v>163.5</v>
      </c>
      <c r="F40" s="56" t="n">
        <f aca="false">SUM(F36:F39)</f>
        <v>159.3</v>
      </c>
      <c r="G40" s="56" t="n">
        <f aca="false">SUM(G36:G39)</f>
        <v>163.6</v>
      </c>
      <c r="H40" s="56" t="n">
        <f aca="false">SUM(H36:H39)</f>
        <v>177.5</v>
      </c>
      <c r="I40" s="56" t="n">
        <f aca="false">SUM(I36:I39)</f>
        <v>166.5</v>
      </c>
      <c r="J40" s="56" t="n">
        <f aca="false">SUM(J36:J39)</f>
        <v>152.6</v>
      </c>
      <c r="K40" s="56" t="n">
        <f aca="false">SUM(K36:K39)</f>
        <v>174.42</v>
      </c>
      <c r="L40" s="56" t="n">
        <f aca="false">SUM(L36:L39)</f>
        <v>198.6</v>
      </c>
      <c r="M40" s="56" t="n">
        <f aca="false">SUM(M36:M39)</f>
        <v>208.158</v>
      </c>
      <c r="N40" s="56" t="n">
        <f aca="false">SUM(N36:N39)</f>
        <v>178.173416666667</v>
      </c>
      <c r="O40" s="56" t="n">
        <f aca="false">SUM(O36:O39)</f>
        <v>191.516</v>
      </c>
      <c r="P40" s="56" t="n">
        <f aca="false">SUM(P36:P39)</f>
        <v>162.133333333333</v>
      </c>
      <c r="Q40" s="56" t="n">
        <f aca="false">SUM(Q36:Q39)</f>
        <v>165.533333333333</v>
      </c>
      <c r="R40" s="56" t="n">
        <f aca="false">SUM(R36:R39)</f>
        <v>193.726</v>
      </c>
      <c r="S40" s="97" t="n">
        <f aca="false">AVERAGE(B40:M40)</f>
        <v>178.173416666667</v>
      </c>
      <c r="T40" s="56" t="n">
        <f aca="false">SUM(T36:T39)</f>
        <v>172.198</v>
      </c>
      <c r="U40" s="56" t="n">
        <f aca="false">SUM(U36:U39)</f>
        <v>172.198</v>
      </c>
      <c r="W40" s="109"/>
    </row>
    <row r="41" customFormat="false" ht="12.75" hidden="false" customHeight="false" outlineLevel="0" collapsed="false">
      <c r="A41" s="110" t="s">
        <v>116</v>
      </c>
      <c r="B41" s="101" t="n">
        <f aca="false">B18+B25+B32+B40</f>
        <v>1108.624</v>
      </c>
      <c r="C41" s="101" t="n">
        <f aca="false">C18+C25+C32+C40</f>
        <v>1119.259</v>
      </c>
      <c r="D41" s="101" t="n">
        <f aca="false">D18+D25+D32+D40</f>
        <v>1109.9</v>
      </c>
      <c r="E41" s="101" t="n">
        <f aca="false">E18+E25+E32+E40</f>
        <v>1103.7</v>
      </c>
      <c r="F41" s="101" t="n">
        <f aca="false">F18+F25+F32+F40</f>
        <v>1075.1</v>
      </c>
      <c r="G41" s="101" t="n">
        <f aca="false">G18+G25+G32+G40</f>
        <v>1072.7</v>
      </c>
      <c r="H41" s="101" t="n">
        <f aca="false">H18+H25+H32+H40</f>
        <v>1090.5</v>
      </c>
      <c r="I41" s="101" t="n">
        <f aca="false">I18+I25+I32+I40</f>
        <v>1106.8</v>
      </c>
      <c r="J41" s="101" t="n">
        <f aca="false">J18+J25+J32+J40</f>
        <v>1020.2</v>
      </c>
      <c r="K41" s="101" t="n">
        <f aca="false">K18+K25+K32+K40</f>
        <v>1000.38980645161</v>
      </c>
      <c r="L41" s="101" t="n">
        <f aca="false">L18+L25+L32+L40</f>
        <v>1001.76933333333</v>
      </c>
      <c r="M41" s="101" t="n">
        <f aca="false">M18+M25+M32+M40</f>
        <v>998.305</v>
      </c>
      <c r="N41" s="111" t="n">
        <f aca="false">N18+N25+N32+N40</f>
        <v>1067.27059498208</v>
      </c>
      <c r="O41" s="111" t="n">
        <f aca="false">O18+O25+O32+O40</f>
        <v>1126.128</v>
      </c>
      <c r="P41" s="111" t="n">
        <f aca="false">P18+P25+P32+P40</f>
        <v>1083.83333333333</v>
      </c>
      <c r="Q41" s="111" t="n">
        <f aca="false">Q18+Q25+Q32+Q40</f>
        <v>1072.5</v>
      </c>
      <c r="R41" s="111" t="n">
        <f aca="false">R18+R25+R32+R40</f>
        <v>1000.15471326165</v>
      </c>
      <c r="S41" s="97" t="n">
        <f aca="false">AVERAGE(B41:M41)</f>
        <v>1067.27059498208</v>
      </c>
      <c r="T41" s="111" t="n">
        <f aca="false">T18+T25+T32+T40</f>
        <v>1084.03416666667</v>
      </c>
      <c r="U41" s="111" t="n">
        <f aca="false">U18+U25+U32+U40</f>
        <v>1441.72716666667</v>
      </c>
      <c r="W41" s="112"/>
      <c r="X41" s="112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  <c r="IW41" s="55"/>
    </row>
    <row r="42" customFormat="false" ht="12.75" hidden="false" customHeight="false" outlineLevel="0" collapsed="false">
      <c r="A42" s="110" t="s">
        <v>117</v>
      </c>
      <c r="B42" s="101" t="n">
        <f aca="false">+B14+B21+B28+B35</f>
        <v>1106.627</v>
      </c>
      <c r="C42" s="101" t="n">
        <f aca="false">+C14+C21+C28+C35</f>
        <v>1132.914</v>
      </c>
      <c r="D42" s="101" t="n">
        <f aca="false">+D14+D21+D28+D35</f>
        <v>1122.1</v>
      </c>
      <c r="E42" s="101" t="n">
        <f aca="false">+E14+E21+E28+E35</f>
        <v>1087.1</v>
      </c>
      <c r="F42" s="101" t="n">
        <f aca="false">+F14+F21+F28+F35</f>
        <v>1088.4</v>
      </c>
      <c r="G42" s="101" t="n">
        <f aca="false">+G14+G21+G28+G35</f>
        <v>1098.5</v>
      </c>
      <c r="H42" s="101" t="n">
        <f aca="false">+H14+H21+H28+H35</f>
        <v>1053.7</v>
      </c>
      <c r="I42" s="101" t="n">
        <f aca="false">+I14+I21+I28+I35</f>
        <v>1063.4</v>
      </c>
      <c r="J42" s="101" t="n">
        <f aca="false">+J14+J21+J28+J35</f>
        <v>1088.4</v>
      </c>
      <c r="K42" s="101" t="n">
        <f aca="false">+K14+K21+K28+K35</f>
        <v>1087.9</v>
      </c>
      <c r="L42" s="101" t="n">
        <f aca="false">+L14+L21+L28+L35</f>
        <v>1122.9</v>
      </c>
      <c r="M42" s="101" t="n">
        <f aca="false">+M14+M21+M28+M35</f>
        <v>1122.9</v>
      </c>
      <c r="N42" s="111" t="n">
        <f aca="false">+N14+N21+N28+N35</f>
        <v>1097.90341666667</v>
      </c>
      <c r="O42" s="111" t="n">
        <f aca="false">+O14+O21+O28+O35</f>
        <v>1120.547</v>
      </c>
      <c r="P42" s="111" t="n">
        <f aca="false">+P14+P21+P28+P35</f>
        <v>1091.33333333333</v>
      </c>
      <c r="Q42" s="111" t="n">
        <f aca="false">+Q14+Q21+Q28+Q35</f>
        <v>1068.5</v>
      </c>
      <c r="R42" s="111" t="n">
        <f aca="false">+R14+R21+R28+R35</f>
        <v>1111.23333333333</v>
      </c>
      <c r="S42" s="97" t="n">
        <f aca="false">AVERAGE(B42:M42)</f>
        <v>1097.90341666667</v>
      </c>
      <c r="T42" s="111" t="n">
        <f aca="false">+T14+T21+T28+T35</f>
        <v>1236.6</v>
      </c>
      <c r="U42" s="111" t="n">
        <f aca="false">+U14+U21+U28+U35</f>
        <v>1686.6</v>
      </c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</row>
    <row r="43" customFormat="false" ht="12.75" hidden="false" customHeight="false" outlineLevel="0" collapsed="false">
      <c r="A43" s="113" t="s">
        <v>118</v>
      </c>
      <c r="B43" s="114" t="n">
        <f aca="false">B41/B42</f>
        <v>1.00180458275462</v>
      </c>
      <c r="C43" s="114" t="n">
        <f aca="false">C41/C42</f>
        <v>0.987947010982299</v>
      </c>
      <c r="D43" s="114" t="n">
        <f aca="false">D41/D42</f>
        <v>0.989127528740754</v>
      </c>
      <c r="E43" s="114" t="n">
        <f aca="false">E41/E42</f>
        <v>1.01526998436206</v>
      </c>
      <c r="F43" s="114" t="n">
        <f aca="false">F41/F42</f>
        <v>0.987780227857405</v>
      </c>
      <c r="G43" s="114" t="n">
        <f aca="false">G41/G42</f>
        <v>0.976513427401001</v>
      </c>
      <c r="H43" s="114" t="n">
        <f aca="false">H41/H42</f>
        <v>1.03492455158015</v>
      </c>
      <c r="I43" s="114" t="n">
        <f aca="false">I41/I42</f>
        <v>1.04081248824525</v>
      </c>
      <c r="J43" s="114" t="n">
        <f aca="false">J41/J42</f>
        <v>0.93733921352444</v>
      </c>
      <c r="K43" s="114" t="n">
        <f aca="false">K41/K42</f>
        <v>0.919560443470551</v>
      </c>
      <c r="L43" s="114" t="n">
        <f aca="false">L41/L42</f>
        <v>0.892126933238341</v>
      </c>
      <c r="M43" s="114" t="n">
        <f aca="false">M41/M42</f>
        <v>0.889041766853683</v>
      </c>
      <c r="N43" s="114" t="n">
        <f aca="false">N41/N42</f>
        <v>0.972098801024236</v>
      </c>
      <c r="O43" s="56"/>
      <c r="P43" s="97"/>
      <c r="Q43" s="97"/>
      <c r="R43" s="97"/>
      <c r="S43" s="97"/>
      <c r="T43" s="56"/>
      <c r="U43" s="56"/>
    </row>
    <row r="44" customFormat="false" ht="15.75" hidden="false" customHeight="false" outlineLevel="0" collapsed="false">
      <c r="A44" s="91" t="s">
        <v>35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116"/>
      <c r="P44" s="89"/>
      <c r="Q44" s="89"/>
      <c r="R44" s="89"/>
      <c r="S44" s="89"/>
      <c r="T44" s="116"/>
      <c r="U44" s="116"/>
    </row>
    <row r="45" customFormat="false" ht="12.75" hidden="false" customHeight="false" outlineLevel="0" collapsed="false">
      <c r="A45" s="92" t="s">
        <v>36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56"/>
      <c r="O45" s="56"/>
      <c r="P45" s="93"/>
      <c r="Q45" s="93"/>
      <c r="R45" s="93"/>
      <c r="S45" s="93"/>
      <c r="T45" s="56"/>
      <c r="U45" s="56"/>
    </row>
    <row r="46" customFormat="false" ht="12.75" hidden="false" customHeight="false" outlineLevel="0" collapsed="false">
      <c r="A46" s="95" t="s">
        <v>14</v>
      </c>
      <c r="B46" s="96" t="n">
        <v>80</v>
      </c>
      <c r="C46" s="96" t="n">
        <v>80</v>
      </c>
      <c r="D46" s="96" t="n">
        <v>72.3</v>
      </c>
      <c r="E46" s="96" t="n">
        <v>80</v>
      </c>
      <c r="F46" s="96" t="n">
        <v>80</v>
      </c>
      <c r="G46" s="96" t="n">
        <v>80</v>
      </c>
      <c r="H46" s="96" t="n">
        <v>80</v>
      </c>
      <c r="I46" s="96" t="n">
        <v>80</v>
      </c>
      <c r="J46" s="96" t="n">
        <v>80</v>
      </c>
      <c r="K46" s="96" t="n">
        <v>0</v>
      </c>
      <c r="L46" s="96" t="n">
        <v>0</v>
      </c>
      <c r="M46" s="96" t="n">
        <v>0</v>
      </c>
      <c r="N46" s="56" t="n">
        <f aca="false">SUM(B46:M46)/12</f>
        <v>59.3583333333333</v>
      </c>
      <c r="O46" s="97" t="n">
        <f aca="false">AVERAGE(B46:D46)</f>
        <v>77.4333333333333</v>
      </c>
      <c r="P46" s="97" t="n">
        <f aca="false">AVERAGE(E46:G46)</f>
        <v>80</v>
      </c>
      <c r="Q46" s="97" t="n">
        <f aca="false">AVERAGE(H46:J46)</f>
        <v>80</v>
      </c>
      <c r="R46" s="97" t="n">
        <f aca="false">AVERAGE(K46:M46)</f>
        <v>0</v>
      </c>
      <c r="S46" s="97" t="n">
        <f aca="false">AVERAGE(B46:M46)</f>
        <v>59.3583333333333</v>
      </c>
      <c r="T46" s="56" t="n">
        <v>0</v>
      </c>
      <c r="U46" s="56" t="n">
        <v>0</v>
      </c>
    </row>
    <row r="47" customFormat="false" ht="12.75" hidden="false" customHeight="false" outlineLevel="0" collapsed="false">
      <c r="A47" s="95" t="s">
        <v>110</v>
      </c>
      <c r="B47" s="96" t="n">
        <v>7.199</v>
      </c>
      <c r="C47" s="96" t="n">
        <v>9.044</v>
      </c>
      <c r="D47" s="96" t="n">
        <v>10.4</v>
      </c>
      <c r="E47" s="96" t="n">
        <v>14.7</v>
      </c>
      <c r="F47" s="96" t="n">
        <v>22.6</v>
      </c>
      <c r="G47" s="96" t="n">
        <v>18.3</v>
      </c>
      <c r="H47" s="96" t="n">
        <v>1</v>
      </c>
      <c r="I47" s="96" t="n">
        <v>0.2</v>
      </c>
      <c r="J47" s="96" t="n">
        <v>0</v>
      </c>
      <c r="K47" s="96" t="n">
        <v>0</v>
      </c>
      <c r="L47" s="96" t="n">
        <v>0</v>
      </c>
      <c r="M47" s="96" t="n">
        <v>0</v>
      </c>
      <c r="N47" s="56" t="n">
        <f aca="false">SUM(B47:M47)/12</f>
        <v>6.95358333333333</v>
      </c>
      <c r="O47" s="97" t="n">
        <f aca="false">AVERAGE(B47:D47)</f>
        <v>8.881</v>
      </c>
      <c r="P47" s="97" t="n">
        <f aca="false">AVERAGE(E47:G47)</f>
        <v>18.5333333333333</v>
      </c>
      <c r="Q47" s="97" t="n">
        <f aca="false">AVERAGE(H47:J47)</f>
        <v>0.4</v>
      </c>
      <c r="R47" s="97" t="n">
        <f aca="false">AVERAGE(K47:M47)</f>
        <v>0</v>
      </c>
      <c r="S47" s="97" t="n">
        <f aca="false">AVERAGE(B47:M47)</f>
        <v>6.95358333333333</v>
      </c>
      <c r="T47" s="56" t="n">
        <v>0</v>
      </c>
      <c r="U47" s="56" t="n">
        <v>0</v>
      </c>
    </row>
    <row r="48" customFormat="false" ht="12.75" hidden="false" customHeight="false" outlineLevel="0" collapsed="false">
      <c r="A48" s="95" t="s">
        <v>111</v>
      </c>
      <c r="B48" s="96" t="n">
        <v>0</v>
      </c>
      <c r="C48" s="96" t="n">
        <v>0</v>
      </c>
      <c r="D48" s="96" t="n">
        <v>0</v>
      </c>
      <c r="E48" s="96" t="n">
        <v>0</v>
      </c>
      <c r="F48" s="96" t="n">
        <v>0</v>
      </c>
      <c r="G48" s="96" t="n">
        <v>0</v>
      </c>
      <c r="H48" s="96" t="n">
        <v>0</v>
      </c>
      <c r="I48" s="96" t="n">
        <v>0</v>
      </c>
      <c r="J48" s="96" t="n">
        <v>0</v>
      </c>
      <c r="K48" s="96" t="n">
        <v>0</v>
      </c>
      <c r="L48" s="96" t="n">
        <v>0</v>
      </c>
      <c r="M48" s="96" t="n">
        <v>0</v>
      </c>
      <c r="N48" s="56" t="n">
        <f aca="false">SUM(B48:M48)/12</f>
        <v>0</v>
      </c>
      <c r="O48" s="97" t="n">
        <f aca="false">AVERAGE(B48:D48)</f>
        <v>0</v>
      </c>
      <c r="P48" s="97" t="n">
        <f aca="false">AVERAGE(E48:G48)</f>
        <v>0</v>
      </c>
      <c r="Q48" s="97" t="n">
        <f aca="false">AVERAGE(H48:J48)</f>
        <v>0</v>
      </c>
      <c r="R48" s="97" t="n">
        <f aca="false">AVERAGE(K48:M48)</f>
        <v>0</v>
      </c>
      <c r="S48" s="97" t="n">
        <f aca="false">AVERAGE(B48:M48)</f>
        <v>0</v>
      </c>
      <c r="T48" s="56" t="n">
        <v>0</v>
      </c>
      <c r="U48" s="56" t="n">
        <v>0</v>
      </c>
    </row>
    <row r="49" customFormat="false" ht="12.75" hidden="false" customHeight="false" outlineLevel="0" collapsed="false">
      <c r="A49" s="95" t="s">
        <v>114</v>
      </c>
      <c r="B49" s="99"/>
      <c r="C49" s="99" t="n">
        <v>0</v>
      </c>
      <c r="D49" s="99" t="n">
        <v>3.3</v>
      </c>
      <c r="E49" s="99" t="n">
        <f aca="false">0.8+0.04</f>
        <v>0.84</v>
      </c>
      <c r="F49" s="99" t="n">
        <v>0</v>
      </c>
      <c r="G49" s="99" t="n">
        <v>11.7</v>
      </c>
      <c r="H49" s="99" t="n">
        <v>1.8</v>
      </c>
      <c r="I49" s="99" t="n">
        <v>0</v>
      </c>
      <c r="J49" s="99" t="n">
        <v>0</v>
      </c>
      <c r="K49" s="99" t="n">
        <v>0</v>
      </c>
      <c r="L49" s="99" t="n">
        <v>0</v>
      </c>
      <c r="M49" s="99" t="n">
        <v>0</v>
      </c>
      <c r="N49" s="100" t="n">
        <f aca="false">SUM(B49:M49)/12</f>
        <v>1.47</v>
      </c>
      <c r="O49" s="97" t="n">
        <f aca="false">AVERAGE(B49:D49)</f>
        <v>1.65</v>
      </c>
      <c r="P49" s="97" t="n">
        <f aca="false">AVERAGE(E49:G49)</f>
        <v>4.18</v>
      </c>
      <c r="Q49" s="97" t="n">
        <f aca="false">AVERAGE(H49:J49)</f>
        <v>0.6</v>
      </c>
      <c r="R49" s="97" t="n">
        <f aca="false">AVERAGE(K49:M49)</f>
        <v>0</v>
      </c>
      <c r="S49" s="97" t="n">
        <f aca="false">AVERAGE(B49:M49)</f>
        <v>1.60363636363636</v>
      </c>
      <c r="T49" s="100" t="n">
        <v>0</v>
      </c>
      <c r="U49" s="100" t="n">
        <v>0</v>
      </c>
    </row>
    <row r="50" customFormat="false" ht="12.75" hidden="false" customHeight="false" outlineLevel="0" collapsed="false">
      <c r="A50" s="92" t="s">
        <v>37</v>
      </c>
      <c r="B50" s="56" t="n">
        <f aca="false">SUM(B47:B49)</f>
        <v>7.199</v>
      </c>
      <c r="C50" s="56" t="n">
        <f aca="false">SUM(C47:C49)</f>
        <v>9.044</v>
      </c>
      <c r="D50" s="56" t="n">
        <f aca="false">SUM(D47:D49)</f>
        <v>13.7</v>
      </c>
      <c r="E50" s="56" t="n">
        <f aca="false">SUM(E47:E49)</f>
        <v>15.54</v>
      </c>
      <c r="F50" s="56" t="n">
        <f aca="false">SUM(F47:F49)</f>
        <v>22.6</v>
      </c>
      <c r="G50" s="56" t="n">
        <f aca="false">SUM(G47:G49)</f>
        <v>30</v>
      </c>
      <c r="H50" s="56" t="n">
        <f aca="false">SUM(H47:H49)</f>
        <v>2.8</v>
      </c>
      <c r="I50" s="56" t="n">
        <f aca="false">SUM(I47:I49)</f>
        <v>0.2</v>
      </c>
      <c r="J50" s="56" t="n">
        <f aca="false">SUM(J47:J49)</f>
        <v>0</v>
      </c>
      <c r="K50" s="56" t="n">
        <f aca="false">SUM(K47:K49)</f>
        <v>0</v>
      </c>
      <c r="L50" s="56" t="n">
        <f aca="false">SUM(L47:L49)</f>
        <v>0</v>
      </c>
      <c r="M50" s="56" t="n">
        <f aca="false">SUM(M47:M49)</f>
        <v>0</v>
      </c>
      <c r="N50" s="56" t="n">
        <f aca="false">SUM(N47:N49)</f>
        <v>8.42358333333333</v>
      </c>
      <c r="O50" s="56" t="n">
        <f aca="false">SUM(O47:O49)</f>
        <v>10.531</v>
      </c>
      <c r="P50" s="56" t="n">
        <f aca="false">SUM(P47:P49)</f>
        <v>22.7133333333333</v>
      </c>
      <c r="Q50" s="56" t="n">
        <f aca="false">SUM(Q47:Q49)</f>
        <v>1</v>
      </c>
      <c r="R50" s="56" t="n">
        <f aca="false">SUM(R47:R49)</f>
        <v>0</v>
      </c>
      <c r="S50" s="94" t="n">
        <f aca="false">SUM(S47:S49)</f>
        <v>8.5572196969697</v>
      </c>
      <c r="T50" s="56" t="n">
        <v>0</v>
      </c>
      <c r="U50" s="56" t="n">
        <v>0</v>
      </c>
    </row>
    <row r="51" customFormat="false" ht="12.75" hidden="false" customHeight="false" outlineLevel="0" collapsed="false">
      <c r="A51" s="92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94"/>
      <c r="Q51" s="94"/>
      <c r="R51" s="94"/>
      <c r="S51" s="94"/>
      <c r="T51" s="56"/>
      <c r="U51" s="56"/>
    </row>
    <row r="52" customFormat="false" ht="12.75" hidden="false" customHeight="false" outlineLevel="0" collapsed="false">
      <c r="A52" s="92" t="s">
        <v>38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56"/>
      <c r="O52" s="56"/>
      <c r="P52" s="93"/>
      <c r="Q52" s="93"/>
      <c r="R52" s="93"/>
      <c r="S52" s="93"/>
      <c r="T52" s="56"/>
      <c r="U52" s="56"/>
    </row>
    <row r="53" customFormat="false" ht="12.75" hidden="false" customHeight="false" outlineLevel="0" collapsed="false">
      <c r="A53" s="95" t="s">
        <v>14</v>
      </c>
      <c r="B53" s="96" t="n">
        <v>541.977</v>
      </c>
      <c r="C53" s="96" t="n">
        <v>541.189</v>
      </c>
      <c r="D53" s="96" t="n">
        <v>684.5</v>
      </c>
      <c r="E53" s="96" t="n">
        <v>560.8</v>
      </c>
      <c r="F53" s="96" t="n">
        <v>565.4</v>
      </c>
      <c r="G53" s="96" t="n">
        <v>569</v>
      </c>
      <c r="H53" s="96" t="n">
        <v>576.1</v>
      </c>
      <c r="I53" s="96" t="n">
        <v>564.6</v>
      </c>
      <c r="J53" s="96" t="n">
        <v>558.6</v>
      </c>
      <c r="K53" s="96" t="n">
        <f aca="false">Detail!W468/Detail!W1/1000</f>
        <v>609</v>
      </c>
      <c r="L53" s="96" t="n">
        <f aca="false">Detail!X468/Detail!X1/1000</f>
        <v>654</v>
      </c>
      <c r="M53" s="96" t="n">
        <f aca="false">Detail!Y468/Detail!Y1/1000</f>
        <v>687.214</v>
      </c>
      <c r="N53" s="56" t="n">
        <f aca="false">SUM(B53:M53)/12</f>
        <v>592.698333333333</v>
      </c>
      <c r="O53" s="97" t="n">
        <f aca="false">AVERAGE(B53:D53)</f>
        <v>589.222</v>
      </c>
      <c r="P53" s="97" t="n">
        <f aca="false">AVERAGE(E53:G53)</f>
        <v>565.066666666667</v>
      </c>
      <c r="Q53" s="97" t="n">
        <f aca="false">AVERAGE(H53:J53)</f>
        <v>566.433333333333</v>
      </c>
      <c r="R53" s="97" t="n">
        <f aca="false">AVERAGE(K53:M53)</f>
        <v>650.071333333333</v>
      </c>
      <c r="S53" s="97" t="n">
        <f aca="false">AVERAGE(B53:M53)</f>
        <v>592.698333333333</v>
      </c>
      <c r="T53" s="56" t="n">
        <v>554.888</v>
      </c>
      <c r="U53" s="56" t="n">
        <v>554.888</v>
      </c>
    </row>
    <row r="54" customFormat="false" ht="12.75" hidden="false" customHeight="false" outlineLevel="0" collapsed="false">
      <c r="A54" s="95" t="s">
        <v>110</v>
      </c>
      <c r="B54" s="96" t="n">
        <v>174.118</v>
      </c>
      <c r="C54" s="96" t="n">
        <v>209.671</v>
      </c>
      <c r="D54" s="96" t="n">
        <v>241.5</v>
      </c>
      <c r="E54" s="96" t="n">
        <v>297.8</v>
      </c>
      <c r="F54" s="96" t="n">
        <v>303.1</v>
      </c>
      <c r="G54" s="96" t="n">
        <v>294</v>
      </c>
      <c r="H54" s="96" t="n">
        <v>319.9</v>
      </c>
      <c r="I54" s="96" t="n">
        <v>322.6</v>
      </c>
      <c r="J54" s="96" t="n">
        <v>281.4</v>
      </c>
      <c r="K54" s="96" t="n">
        <f aca="false">Detail!W494/Detail!W1/1000</f>
        <v>267.49</v>
      </c>
      <c r="L54" s="96" t="n">
        <f aca="false">Detail!X494/Detail!X1/1000</f>
        <v>297.48</v>
      </c>
      <c r="M54" s="96" t="n">
        <f aca="false">Detail!Y494/Detail!Y1/1000</f>
        <v>324.678602</v>
      </c>
      <c r="N54" s="56" t="n">
        <f aca="false">SUM(B54:M54)/12</f>
        <v>277.811466833333</v>
      </c>
      <c r="O54" s="97" t="n">
        <f aca="false">AVERAGE(B54:D54)</f>
        <v>208.429666666667</v>
      </c>
      <c r="P54" s="97" t="n">
        <f aca="false">AVERAGE(E54:G54)</f>
        <v>298.3</v>
      </c>
      <c r="Q54" s="97" t="n">
        <f aca="false">AVERAGE(H54:J54)</f>
        <v>307.966666666667</v>
      </c>
      <c r="R54" s="97" t="n">
        <f aca="false">AVERAGE(K54:M54)</f>
        <v>296.549534</v>
      </c>
      <c r="S54" s="97" t="n">
        <f aca="false">AVERAGE(B54:M54)</f>
        <v>277.811466833333</v>
      </c>
      <c r="T54" s="56" t="n">
        <v>272.331854166667</v>
      </c>
      <c r="U54" s="56" t="n">
        <v>272.331854166667</v>
      </c>
    </row>
    <row r="55" customFormat="false" ht="12.75" hidden="false" customHeight="false" outlineLevel="0" collapsed="false">
      <c r="A55" s="95" t="s">
        <v>111</v>
      </c>
      <c r="B55" s="96" t="n">
        <v>0</v>
      </c>
      <c r="C55" s="96" t="n">
        <v>0</v>
      </c>
      <c r="D55" s="96" t="n">
        <v>0</v>
      </c>
      <c r="E55" s="96" t="n">
        <v>0</v>
      </c>
      <c r="F55" s="96" t="n">
        <v>0</v>
      </c>
      <c r="G55" s="96" t="n">
        <v>0</v>
      </c>
      <c r="H55" s="96" t="n">
        <v>0</v>
      </c>
      <c r="I55" s="96" t="n">
        <v>0</v>
      </c>
      <c r="J55" s="96" t="n">
        <v>0</v>
      </c>
      <c r="K55" s="96" t="n">
        <v>0</v>
      </c>
      <c r="L55" s="96" t="n">
        <v>0</v>
      </c>
      <c r="M55" s="96" t="n">
        <v>0</v>
      </c>
      <c r="N55" s="56" t="n">
        <f aca="false">SUM(B55:M55)/12</f>
        <v>0</v>
      </c>
      <c r="O55" s="97" t="n">
        <f aca="false">AVERAGE(B55:D55)</f>
        <v>0</v>
      </c>
      <c r="P55" s="97" t="n">
        <f aca="false">AVERAGE(E55:G55)</f>
        <v>0</v>
      </c>
      <c r="Q55" s="97" t="n">
        <f aca="false">AVERAGE(H55:J55)</f>
        <v>0</v>
      </c>
      <c r="R55" s="97" t="n">
        <f aca="false">AVERAGE(K55:M55)</f>
        <v>0</v>
      </c>
      <c r="S55" s="97" t="n">
        <f aca="false">AVERAGE(B55:M55)</f>
        <v>0</v>
      </c>
      <c r="T55" s="56" t="n">
        <v>0</v>
      </c>
      <c r="U55" s="56" t="n">
        <v>0</v>
      </c>
    </row>
    <row r="56" customFormat="false" ht="12.75" hidden="false" customHeight="false" outlineLevel="0" collapsed="false">
      <c r="A56" s="95" t="s">
        <v>39</v>
      </c>
      <c r="B56" s="96" t="n">
        <v>0.685</v>
      </c>
      <c r="C56" s="96"/>
      <c r="D56" s="96" t="n">
        <v>0.5</v>
      </c>
      <c r="E56" s="96" t="n">
        <v>0.007</v>
      </c>
      <c r="F56" s="96" t="n">
        <v>0</v>
      </c>
      <c r="G56" s="96" t="n">
        <v>0</v>
      </c>
      <c r="H56" s="96" t="n">
        <v>0</v>
      </c>
      <c r="I56" s="96" t="n">
        <v>0</v>
      </c>
      <c r="J56" s="96" t="n">
        <v>0</v>
      </c>
      <c r="K56" s="96" t="n">
        <v>0</v>
      </c>
      <c r="L56" s="96" t="n">
        <v>0</v>
      </c>
      <c r="M56" s="96" t="n">
        <v>0</v>
      </c>
      <c r="N56" s="56" t="n">
        <f aca="false">SUM(B56:M56)/12</f>
        <v>0.0993333333333333</v>
      </c>
      <c r="O56" s="97" t="n">
        <f aca="false">AVERAGE(B56:D56)</f>
        <v>0.5925</v>
      </c>
      <c r="P56" s="97" t="n">
        <f aca="false">AVERAGE(E56:G56)</f>
        <v>0.00233333333333333</v>
      </c>
      <c r="Q56" s="97" t="n">
        <f aca="false">AVERAGE(H56:J56)</f>
        <v>0</v>
      </c>
      <c r="R56" s="97" t="n">
        <f aca="false">AVERAGE(K56:M56)</f>
        <v>0</v>
      </c>
      <c r="S56" s="97" t="n">
        <f aca="false">AVERAGE(B56:M56)</f>
        <v>0.108363636363636</v>
      </c>
      <c r="T56" s="56"/>
      <c r="U56" s="56"/>
    </row>
    <row r="57" customFormat="false" ht="12.75" hidden="false" customHeight="false" outlineLevel="0" collapsed="false">
      <c r="A57" s="95" t="s">
        <v>114</v>
      </c>
      <c r="B57" s="99" t="n">
        <v>44.262</v>
      </c>
      <c r="C57" s="99" t="n">
        <v>31.1</v>
      </c>
      <c r="D57" s="99" t="n">
        <v>17.9</v>
      </c>
      <c r="E57" s="99" t="n">
        <v>51.9</v>
      </c>
      <c r="F57" s="99" t="n">
        <v>19.9</v>
      </c>
      <c r="G57" s="99" t="n">
        <v>24</v>
      </c>
      <c r="H57" s="99" t="n">
        <v>29.6</v>
      </c>
      <c r="I57" s="99" t="n">
        <v>12.6</v>
      </c>
      <c r="J57" s="99" t="n">
        <v>7.9</v>
      </c>
      <c r="K57" s="99" t="n">
        <f aca="false">Detail!W546/1000</f>
        <v>10.6</v>
      </c>
      <c r="L57" s="99" t="n">
        <f aca="false">Detail!X546/1000</f>
        <v>13.8</v>
      </c>
      <c r="M57" s="99" t="n">
        <f aca="false">Detail!Y546/1000</f>
        <v>27.3</v>
      </c>
      <c r="N57" s="100" t="n">
        <f aca="false">SUM(B57:M57)/12</f>
        <v>24.2385</v>
      </c>
      <c r="O57" s="97" t="n">
        <f aca="false">AVERAGE(B57:D57)</f>
        <v>31.0873333333333</v>
      </c>
      <c r="P57" s="97" t="n">
        <f aca="false">AVERAGE(E57:G57)</f>
        <v>31.9333333333333</v>
      </c>
      <c r="Q57" s="97" t="n">
        <f aca="false">AVERAGE(H57:J57)</f>
        <v>16.7</v>
      </c>
      <c r="R57" s="97" t="n">
        <f aca="false">AVERAGE(K57:M57)</f>
        <v>17.2333333333333</v>
      </c>
      <c r="S57" s="97" t="n">
        <f aca="false">AVERAGE(B57:M57)</f>
        <v>24.2385</v>
      </c>
      <c r="T57" s="100" t="n">
        <v>21.6833333333333</v>
      </c>
      <c r="U57" s="100" t="n">
        <v>21.6833333333333</v>
      </c>
    </row>
    <row r="58" customFormat="false" ht="12.75" hidden="false" customHeight="false" outlineLevel="0" collapsed="false">
      <c r="A58" s="92" t="s">
        <v>40</v>
      </c>
      <c r="B58" s="56" t="n">
        <f aca="false">SUM(B54:B57)</f>
        <v>219.065</v>
      </c>
      <c r="C58" s="56" t="n">
        <f aca="false">SUM(C54:C57)</f>
        <v>240.771</v>
      </c>
      <c r="D58" s="56" t="n">
        <f aca="false">SUM(D54:D57)</f>
        <v>259.9</v>
      </c>
      <c r="E58" s="56" t="n">
        <f aca="false">SUM(E54:E57)</f>
        <v>349.707</v>
      </c>
      <c r="F58" s="56" t="n">
        <f aca="false">SUM(F54:F57)</f>
        <v>323</v>
      </c>
      <c r="G58" s="56" t="n">
        <f aca="false">SUM(G54:G57)</f>
        <v>318</v>
      </c>
      <c r="H58" s="56" t="n">
        <f aca="false">SUM(H54:H57)</f>
        <v>349.5</v>
      </c>
      <c r="I58" s="56" t="n">
        <f aca="false">SUM(I54:I57)</f>
        <v>335.2</v>
      </c>
      <c r="J58" s="56" t="n">
        <f aca="false">SUM(J54:J57)</f>
        <v>289.3</v>
      </c>
      <c r="K58" s="56" t="n">
        <f aca="false">SUM(K54:K57)</f>
        <v>278.09</v>
      </c>
      <c r="L58" s="56" t="n">
        <f aca="false">SUM(L54:L57)</f>
        <v>311.28</v>
      </c>
      <c r="M58" s="56" t="n">
        <f aca="false">SUM(M54:M57)</f>
        <v>351.978602</v>
      </c>
      <c r="N58" s="56" t="n">
        <f aca="false">SUM(N54:N57)</f>
        <v>302.149300166667</v>
      </c>
      <c r="O58" s="56" t="n">
        <f aca="false">SUM(O54:O57)</f>
        <v>240.1095</v>
      </c>
      <c r="P58" s="56" t="n">
        <f aca="false">SUM(P54:P57)</f>
        <v>330.235666666667</v>
      </c>
      <c r="Q58" s="56" t="n">
        <f aca="false">SUM(Q54:Q57)</f>
        <v>324.666666666667</v>
      </c>
      <c r="R58" s="56" t="n">
        <f aca="false">SUM(R54:R57)</f>
        <v>313.782867333333</v>
      </c>
      <c r="S58" s="94" t="n">
        <f aca="false">SUM(S54:S57)</f>
        <v>302.158330469697</v>
      </c>
      <c r="T58" s="56" t="n">
        <f aca="false">SUM(T54:T57)</f>
        <v>294.0151875</v>
      </c>
      <c r="U58" s="56" t="n">
        <f aca="false">SUM(U54:U57)</f>
        <v>294.0151875</v>
      </c>
    </row>
    <row r="59" customFormat="false" ht="12.75" hidden="false" customHeight="false" outlineLevel="0" collapsed="false">
      <c r="A59" s="92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94"/>
      <c r="Q59" s="94"/>
      <c r="R59" s="94"/>
      <c r="S59" s="94"/>
      <c r="T59" s="56"/>
      <c r="U59" s="56"/>
    </row>
    <row r="60" customFormat="false" ht="12.75" hidden="false" customHeight="false" outlineLevel="0" collapsed="false">
      <c r="A60" s="92" t="s">
        <v>41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56"/>
      <c r="O60" s="56"/>
      <c r="P60" s="93"/>
      <c r="Q60" s="93"/>
      <c r="R60" s="93"/>
      <c r="S60" s="93"/>
      <c r="T60" s="56"/>
      <c r="U60" s="56"/>
    </row>
    <row r="61" customFormat="false" ht="12.75" hidden="false" customHeight="false" outlineLevel="0" collapsed="false">
      <c r="A61" s="95" t="s">
        <v>14</v>
      </c>
      <c r="B61" s="96" t="n">
        <f aca="false">[1]Detail!N505/[1]Detail!N1/1000</f>
        <v>40</v>
      </c>
      <c r="C61" s="96" t="n">
        <f aca="false">Detail!O564/Detail!O1/1000</f>
        <v>40</v>
      </c>
      <c r="D61" s="96" t="n">
        <v>40</v>
      </c>
      <c r="E61" s="96" t="n">
        <f aca="false">Detail!Q564/Detail!Q1/1000</f>
        <v>40</v>
      </c>
      <c r="F61" s="96" t="n">
        <f aca="false">Detail!R564/Detail!R1/1000</f>
        <v>40</v>
      </c>
      <c r="G61" s="96" t="n">
        <f aca="false">Detail!S564/Detail!S1/1000</f>
        <v>40</v>
      </c>
      <c r="H61" s="96" t="n">
        <f aca="false">Detail!T564/Detail!T1/1000</f>
        <v>40</v>
      </c>
      <c r="I61" s="96" t="n">
        <f aca="false">Detail!U564/Detail!U1/1000</f>
        <v>40</v>
      </c>
      <c r="J61" s="96" t="n">
        <f aca="false">Detail!V564/Detail!V1/1000</f>
        <v>40</v>
      </c>
      <c r="K61" s="96" t="n">
        <f aca="false">Detail!W564/Detail!W1/1000</f>
        <v>40</v>
      </c>
      <c r="L61" s="96" t="n">
        <f aca="false">Detail!X564/Detail!X1/1000</f>
        <v>40</v>
      </c>
      <c r="M61" s="96" t="n">
        <f aca="false">Detail!Y564/Detail!Y1/1000</f>
        <v>40</v>
      </c>
      <c r="N61" s="56" t="n">
        <f aca="false">SUM(B61:M61)/12</f>
        <v>40</v>
      </c>
      <c r="O61" s="97" t="n">
        <f aca="false">AVERAGE(B61:D61)</f>
        <v>40</v>
      </c>
      <c r="P61" s="97" t="n">
        <f aca="false">AVERAGE(E61:G61)</f>
        <v>40</v>
      </c>
      <c r="Q61" s="97" t="n">
        <f aca="false">AVERAGE(H61:J61)</f>
        <v>40</v>
      </c>
      <c r="R61" s="97" t="n">
        <f aca="false">AVERAGE(K61:M61)</f>
        <v>40</v>
      </c>
      <c r="S61" s="97" t="n">
        <f aca="false">AVERAGE(B61:M61)</f>
        <v>40</v>
      </c>
      <c r="T61" s="56" t="n">
        <v>40</v>
      </c>
      <c r="U61" s="56" t="n">
        <v>40</v>
      </c>
    </row>
    <row r="62" customFormat="false" ht="12.75" hidden="false" customHeight="false" outlineLevel="0" collapsed="false">
      <c r="A62" s="95" t="s">
        <v>110</v>
      </c>
      <c r="B62" s="96" t="n">
        <v>16.793</v>
      </c>
      <c r="C62" s="96" t="n">
        <v>10.527</v>
      </c>
      <c r="D62" s="96" t="n">
        <v>17.8</v>
      </c>
      <c r="E62" s="96" t="n">
        <v>30.4</v>
      </c>
      <c r="F62" s="96" t="n">
        <v>19.7</v>
      </c>
      <c r="G62" s="96" t="n">
        <v>21</v>
      </c>
      <c r="H62" s="96" t="n">
        <v>38.1</v>
      </c>
      <c r="I62" s="96" t="n">
        <v>36</v>
      </c>
      <c r="J62" s="96" t="n">
        <v>31.2</v>
      </c>
      <c r="K62" s="96" t="n">
        <f aca="false">Detail!W571/Detail!W1/1000</f>
        <v>17.2</v>
      </c>
      <c r="L62" s="96" t="n">
        <f aca="false">Detail!X571/Detail!X1/1000</f>
        <v>25.6</v>
      </c>
      <c r="M62" s="96" t="n">
        <f aca="false">Detail!Y571/Detail!Y1/1000</f>
        <v>25.6</v>
      </c>
      <c r="N62" s="56" t="n">
        <f aca="false">SUM(B62:M62)/12</f>
        <v>24.16</v>
      </c>
      <c r="O62" s="97" t="n">
        <f aca="false">AVERAGE(B62:D62)</f>
        <v>15.04</v>
      </c>
      <c r="P62" s="97" t="n">
        <f aca="false">AVERAGE(E62:G62)</f>
        <v>23.7</v>
      </c>
      <c r="Q62" s="97" t="n">
        <f aca="false">AVERAGE(H62:J62)</f>
        <v>35.1</v>
      </c>
      <c r="R62" s="97" t="n">
        <f aca="false">AVERAGE(K62:M62)</f>
        <v>22.8</v>
      </c>
      <c r="S62" s="97" t="n">
        <f aca="false">AVERAGE(B62:M62)</f>
        <v>24.16</v>
      </c>
      <c r="T62" s="56" t="n">
        <v>25</v>
      </c>
      <c r="U62" s="56" t="n">
        <v>25</v>
      </c>
    </row>
    <row r="63" customFormat="false" ht="12.75" hidden="false" customHeight="false" outlineLevel="0" collapsed="false">
      <c r="A63" s="95" t="s">
        <v>111</v>
      </c>
      <c r="B63" s="96" t="n">
        <v>0</v>
      </c>
      <c r="C63" s="96" t="n">
        <v>0</v>
      </c>
      <c r="D63" s="96" t="n">
        <v>0</v>
      </c>
      <c r="E63" s="96" t="n">
        <v>0</v>
      </c>
      <c r="F63" s="96" t="n">
        <v>0</v>
      </c>
      <c r="G63" s="96" t="n">
        <v>0</v>
      </c>
      <c r="H63" s="96" t="n">
        <v>0</v>
      </c>
      <c r="I63" s="96" t="n">
        <v>0</v>
      </c>
      <c r="J63" s="96" t="n">
        <v>0</v>
      </c>
      <c r="K63" s="96" t="n">
        <v>0</v>
      </c>
      <c r="L63" s="96" t="n">
        <v>0</v>
      </c>
      <c r="M63" s="96" t="n">
        <v>0</v>
      </c>
      <c r="N63" s="56" t="n">
        <f aca="false">SUM(B63:M63)/12</f>
        <v>0</v>
      </c>
      <c r="O63" s="97" t="n">
        <f aca="false">AVERAGE(B63:D63)</f>
        <v>0</v>
      </c>
      <c r="P63" s="97" t="n">
        <f aca="false">AVERAGE(E63:G63)</f>
        <v>0</v>
      </c>
      <c r="Q63" s="97" t="n">
        <f aca="false">AVERAGE(H63:J63)</f>
        <v>0</v>
      </c>
      <c r="R63" s="97" t="n">
        <f aca="false">AVERAGE(K63:M63)</f>
        <v>0</v>
      </c>
      <c r="S63" s="97" t="n">
        <f aca="false">AVERAGE(B63:M63)</f>
        <v>0</v>
      </c>
      <c r="T63" s="56" t="n">
        <v>0</v>
      </c>
      <c r="U63" s="56" t="n">
        <v>0</v>
      </c>
    </row>
    <row r="64" customFormat="false" ht="12.75" hidden="false" customHeight="false" outlineLevel="0" collapsed="false">
      <c r="A64" s="95" t="s">
        <v>114</v>
      </c>
      <c r="B64" s="99" t="n">
        <v>3.548</v>
      </c>
      <c r="C64" s="99" t="n">
        <v>2.071</v>
      </c>
      <c r="D64" s="99" t="n">
        <v>0.1</v>
      </c>
      <c r="E64" s="99" t="n">
        <v>0</v>
      </c>
      <c r="F64" s="99" t="n">
        <v>4.5</v>
      </c>
      <c r="G64" s="99" t="n">
        <v>4.6</v>
      </c>
      <c r="H64" s="99" t="n">
        <v>1</v>
      </c>
      <c r="I64" s="99" t="n">
        <v>0.7</v>
      </c>
      <c r="J64" s="99" t="n">
        <v>0</v>
      </c>
      <c r="K64" s="99" t="n">
        <v>0</v>
      </c>
      <c r="L64" s="99" t="n">
        <v>0</v>
      </c>
      <c r="M64" s="99" t="n">
        <v>0</v>
      </c>
      <c r="N64" s="100" t="n">
        <f aca="false">SUM(B64:M64)/12</f>
        <v>1.37658333333333</v>
      </c>
      <c r="O64" s="97" t="n">
        <f aca="false">AVERAGE(B64:D64)</f>
        <v>1.90633333333333</v>
      </c>
      <c r="P64" s="97" t="n">
        <f aca="false">AVERAGE(E64:G64)</f>
        <v>3.03333333333333</v>
      </c>
      <c r="Q64" s="97" t="n">
        <f aca="false">AVERAGE(H64:J64)</f>
        <v>0.566666666666667</v>
      </c>
      <c r="R64" s="97" t="n">
        <f aca="false">AVERAGE(K64:M64)</f>
        <v>0</v>
      </c>
      <c r="S64" s="97" t="n">
        <f aca="false">AVERAGE(B64:M64)</f>
        <v>1.37658333333333</v>
      </c>
      <c r="T64" s="100" t="n">
        <v>0</v>
      </c>
      <c r="U64" s="100" t="n">
        <v>0</v>
      </c>
    </row>
    <row r="65" customFormat="false" ht="12.75" hidden="false" customHeight="false" outlineLevel="0" collapsed="false">
      <c r="A65" s="92" t="s">
        <v>42</v>
      </c>
      <c r="B65" s="56" t="n">
        <f aca="false">SUM(B62:B64)</f>
        <v>20.341</v>
      </c>
      <c r="C65" s="56" t="n">
        <f aca="false">SUM(C62:C64)</f>
        <v>12.598</v>
      </c>
      <c r="D65" s="56" t="n">
        <f aca="false">SUM(D62:D64)</f>
        <v>17.9</v>
      </c>
      <c r="E65" s="56" t="n">
        <f aca="false">SUM(E62:E64)</f>
        <v>30.4</v>
      </c>
      <c r="F65" s="56" t="n">
        <f aca="false">SUM(F62:F64)</f>
        <v>24.2</v>
      </c>
      <c r="G65" s="56" t="n">
        <f aca="false">SUM(G62:G64)</f>
        <v>25.6</v>
      </c>
      <c r="H65" s="56" t="n">
        <f aca="false">SUM(H62:H64)</f>
        <v>39.1</v>
      </c>
      <c r="I65" s="56" t="n">
        <f aca="false">SUM(I62:I64)</f>
        <v>36.7</v>
      </c>
      <c r="J65" s="56" t="n">
        <f aca="false">SUM(J62:J64)</f>
        <v>31.2</v>
      </c>
      <c r="K65" s="56" t="n">
        <f aca="false">SUM(K62:K64)</f>
        <v>17.2</v>
      </c>
      <c r="L65" s="56" t="n">
        <f aca="false">SUM(L62:L64)</f>
        <v>25.6</v>
      </c>
      <c r="M65" s="56" t="n">
        <f aca="false">SUM(M62:M64)</f>
        <v>25.6</v>
      </c>
      <c r="N65" s="56" t="n">
        <f aca="false">SUM(N62:N64)</f>
        <v>25.5365833333333</v>
      </c>
      <c r="O65" s="56" t="n">
        <f aca="false">SUM(O62:O64)</f>
        <v>16.9463333333333</v>
      </c>
      <c r="P65" s="56" t="n">
        <f aca="false">SUM(P62:P64)</f>
        <v>26.7333333333333</v>
      </c>
      <c r="Q65" s="56" t="n">
        <f aca="false">SUM(Q62:Q64)</f>
        <v>35.6666666666667</v>
      </c>
      <c r="R65" s="56" t="n">
        <f aca="false">SUM(R62:R64)</f>
        <v>22.8</v>
      </c>
      <c r="S65" s="94" t="n">
        <f aca="false">SUM(S62:S64)</f>
        <v>25.5365833333333</v>
      </c>
      <c r="T65" s="56" t="n">
        <f aca="false">SUM(T62:T64)</f>
        <v>25</v>
      </c>
      <c r="U65" s="56" t="n">
        <f aca="false">SUM(U62:U64)</f>
        <v>25</v>
      </c>
    </row>
    <row r="66" customFormat="false" ht="12.75" hidden="false" customHeight="false" outlineLevel="0" collapsed="false">
      <c r="A66" s="92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94"/>
      <c r="Q66" s="94"/>
      <c r="R66" s="94"/>
      <c r="S66" s="94"/>
      <c r="T66" s="56"/>
      <c r="U66" s="56"/>
    </row>
    <row r="67" customFormat="false" ht="12.75" hidden="false" customHeight="false" outlineLevel="0" collapsed="false">
      <c r="A67" s="92" t="s">
        <v>43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56"/>
      <c r="O67" s="56"/>
      <c r="P67" s="93"/>
      <c r="Q67" s="93"/>
      <c r="R67" s="93"/>
      <c r="S67" s="93"/>
      <c r="T67" s="56"/>
      <c r="U67" s="56"/>
    </row>
    <row r="68" customFormat="false" ht="12.75" hidden="false" customHeight="false" outlineLevel="0" collapsed="false">
      <c r="A68" s="95" t="s">
        <v>14</v>
      </c>
      <c r="B68" s="96" t="n">
        <v>110</v>
      </c>
      <c r="C68" s="96" t="n">
        <f aca="false">Detail!O598/Detail!O1/1000</f>
        <v>100</v>
      </c>
      <c r="D68" s="96" t="n">
        <v>100</v>
      </c>
      <c r="E68" s="96" t="n">
        <v>100</v>
      </c>
      <c r="F68" s="96" t="n">
        <f aca="false">Detail!R598/Detail!R1/1000</f>
        <v>100</v>
      </c>
      <c r="G68" s="96" t="n">
        <f aca="false">Detail!S598/Detail!S1/1000</f>
        <v>100</v>
      </c>
      <c r="H68" s="96" t="n">
        <f aca="false">Detail!T598/Detail!T1/1000</f>
        <v>100</v>
      </c>
      <c r="I68" s="96" t="n">
        <f aca="false">Detail!U598/Detail!U1/1000</f>
        <v>100</v>
      </c>
      <c r="J68" s="96" t="n">
        <f aca="false">Detail!V598/Detail!V1/1000</f>
        <v>100</v>
      </c>
      <c r="K68" s="96" t="n">
        <f aca="false">Detail!W598/Detail!W1/1000</f>
        <v>100</v>
      </c>
      <c r="L68" s="96" t="n">
        <f aca="false">Detail!X598/Detail!X1/1000</f>
        <v>100</v>
      </c>
      <c r="M68" s="96" t="n">
        <f aca="false">Detail!Y598/Detail!Y1/1000</f>
        <v>80</v>
      </c>
      <c r="N68" s="56" t="n">
        <f aca="false">SUM(B68:M68)/12</f>
        <v>99.1666666666667</v>
      </c>
      <c r="O68" s="97" t="n">
        <f aca="false">AVERAGE(B68:D68)</f>
        <v>103.333333333333</v>
      </c>
      <c r="P68" s="97" t="n">
        <f aca="false">AVERAGE(E68:G68)</f>
        <v>100</v>
      </c>
      <c r="Q68" s="97" t="n">
        <f aca="false">AVERAGE(H68:J68)</f>
        <v>100</v>
      </c>
      <c r="R68" s="97" t="n">
        <f aca="false">AVERAGE(K68:M68)</f>
        <v>93.3333333333333</v>
      </c>
      <c r="S68" s="97" t="n">
        <f aca="false">AVERAGE(B68:M68)</f>
        <v>99.1666666666667</v>
      </c>
      <c r="T68" s="56" t="n">
        <v>98.3333333333333</v>
      </c>
      <c r="U68" s="56" t="n">
        <v>98.3333333333333</v>
      </c>
    </row>
    <row r="69" customFormat="false" ht="12.75" hidden="false" customHeight="false" outlineLevel="0" collapsed="false">
      <c r="A69" s="95" t="s">
        <v>110</v>
      </c>
      <c r="B69" s="96" t="n">
        <v>87.762</v>
      </c>
      <c r="C69" s="96" t="n">
        <v>75.907</v>
      </c>
      <c r="D69" s="96" t="n">
        <v>63.5</v>
      </c>
      <c r="E69" s="96" t="n">
        <v>139.6</v>
      </c>
      <c r="F69" s="96" t="n">
        <v>120.8</v>
      </c>
      <c r="G69" s="96" t="n">
        <v>108.8</v>
      </c>
      <c r="H69" s="96" t="n">
        <v>100</v>
      </c>
      <c r="I69" s="96" t="n">
        <v>98.9</v>
      </c>
      <c r="J69" s="96" t="n">
        <v>102.2</v>
      </c>
      <c r="K69" s="96" t="n">
        <f aca="false">Detail!W604/Detail!W1/1000</f>
        <v>95</v>
      </c>
      <c r="L69" s="96" t="n">
        <f aca="false">Detail!X604/Detail!X1/1000</f>
        <v>95</v>
      </c>
      <c r="M69" s="96" t="n">
        <f aca="false">Detail!Y604/Detail!Y1/1000</f>
        <v>75.2</v>
      </c>
      <c r="N69" s="56" t="n">
        <f aca="false">SUM(B69:M69)/12</f>
        <v>96.8890833333334</v>
      </c>
      <c r="O69" s="97" t="n">
        <f aca="false">AVERAGE(B69:D69)</f>
        <v>75.723</v>
      </c>
      <c r="P69" s="97" t="n">
        <f aca="false">AVERAGE(E69:G69)</f>
        <v>123.066666666667</v>
      </c>
      <c r="Q69" s="97" t="n">
        <f aca="false">AVERAGE(H69:J69)</f>
        <v>100.366666666667</v>
      </c>
      <c r="R69" s="97" t="n">
        <f aca="false">AVERAGE(K69:M69)</f>
        <v>88.4</v>
      </c>
      <c r="S69" s="97" t="n">
        <f aca="false">AVERAGE(B69:M69)</f>
        <v>96.8890833333334</v>
      </c>
      <c r="T69" s="56" t="n">
        <v>94.3583333333333</v>
      </c>
      <c r="U69" s="56" t="n">
        <v>94.3583333333333</v>
      </c>
    </row>
    <row r="70" customFormat="false" ht="12.75" hidden="false" customHeight="false" outlineLevel="0" collapsed="false">
      <c r="A70" s="95" t="s">
        <v>111</v>
      </c>
      <c r="B70" s="96" t="n">
        <v>0</v>
      </c>
      <c r="C70" s="96" t="n">
        <v>0</v>
      </c>
      <c r="D70" s="96" t="n">
        <v>0</v>
      </c>
      <c r="E70" s="96" t="n">
        <v>0</v>
      </c>
      <c r="F70" s="96" t="n">
        <v>0</v>
      </c>
      <c r="G70" s="96" t="n">
        <v>0</v>
      </c>
      <c r="H70" s="96" t="n">
        <v>0</v>
      </c>
      <c r="I70" s="96" t="n">
        <v>0</v>
      </c>
      <c r="J70" s="96" t="n">
        <v>0</v>
      </c>
      <c r="K70" s="96" t="n">
        <v>0</v>
      </c>
      <c r="L70" s="96" t="n">
        <v>0</v>
      </c>
      <c r="M70" s="96" t="n">
        <v>0</v>
      </c>
      <c r="N70" s="56" t="n">
        <f aca="false">SUM(B70:M70)/12</f>
        <v>0</v>
      </c>
      <c r="O70" s="97" t="n">
        <f aca="false">AVERAGE(B70:D70)</f>
        <v>0</v>
      </c>
      <c r="P70" s="97" t="n">
        <f aca="false">AVERAGE(E70:G70)</f>
        <v>0</v>
      </c>
      <c r="Q70" s="97" t="n">
        <f aca="false">AVERAGE(H70:J70)</f>
        <v>0</v>
      </c>
      <c r="R70" s="97" t="n">
        <f aca="false">AVERAGE(K70:M70)</f>
        <v>0</v>
      </c>
      <c r="S70" s="97" t="n">
        <f aca="false">AVERAGE(B70:M70)</f>
        <v>0</v>
      </c>
      <c r="T70" s="56" t="n">
        <v>0</v>
      </c>
      <c r="U70" s="56" t="n">
        <v>0</v>
      </c>
    </row>
    <row r="71" customFormat="false" ht="12.75" hidden="false" customHeight="false" outlineLevel="0" collapsed="false">
      <c r="A71" s="95" t="s">
        <v>114</v>
      </c>
      <c r="B71" s="99" t="n">
        <v>1.696</v>
      </c>
      <c r="C71" s="99" t="n">
        <v>5.538</v>
      </c>
      <c r="D71" s="99" t="n">
        <v>3.7</v>
      </c>
      <c r="E71" s="99" t="n">
        <v>5.2</v>
      </c>
      <c r="F71" s="99" t="n">
        <v>3.8</v>
      </c>
      <c r="G71" s="99" t="n">
        <v>1.8</v>
      </c>
      <c r="H71" s="99" t="n">
        <v>2.4</v>
      </c>
      <c r="I71" s="99" t="n">
        <v>0.4</v>
      </c>
      <c r="J71" s="99" t="n">
        <v>0</v>
      </c>
      <c r="K71" s="99" t="n">
        <f aca="false">Detail!W618/1000</f>
        <v>8</v>
      </c>
      <c r="L71" s="99" t="n">
        <f aca="false">Detail!X618/1000</f>
        <v>7</v>
      </c>
      <c r="M71" s="99" t="n">
        <f aca="false">Detail!Y618/1000</f>
        <v>20.6</v>
      </c>
      <c r="N71" s="100" t="n">
        <f aca="false">SUM(B71:M71)/12</f>
        <v>5.01116666666667</v>
      </c>
      <c r="O71" s="97" t="n">
        <f aca="false">AVERAGE(B71:D71)</f>
        <v>3.64466666666667</v>
      </c>
      <c r="P71" s="97" t="n">
        <f aca="false">AVERAGE(E71:G71)</f>
        <v>3.6</v>
      </c>
      <c r="Q71" s="97" t="n">
        <f aca="false">AVERAGE(H71:J71)</f>
        <v>0.933333333333333</v>
      </c>
      <c r="R71" s="97" t="n">
        <f aca="false">AVERAGE(K71:M71)</f>
        <v>11.8666666666667</v>
      </c>
      <c r="S71" s="97" t="n">
        <f aca="false">AVERAGE(B71:M71)</f>
        <v>5.01116666666667</v>
      </c>
      <c r="T71" s="100" t="n">
        <v>6.96666666666667</v>
      </c>
      <c r="U71" s="100" t="n">
        <v>6.96666666666667</v>
      </c>
    </row>
    <row r="72" customFormat="false" ht="12.75" hidden="false" customHeight="false" outlineLevel="0" collapsed="false">
      <c r="A72" s="92" t="s">
        <v>44</v>
      </c>
      <c r="B72" s="100" t="n">
        <f aca="false">SUM(B69:B71)</f>
        <v>89.458</v>
      </c>
      <c r="C72" s="100" t="n">
        <f aca="false">SUM(C69:C71)</f>
        <v>81.445</v>
      </c>
      <c r="D72" s="100" t="n">
        <f aca="false">SUM(D69:D71)</f>
        <v>67.2</v>
      </c>
      <c r="E72" s="100" t="n">
        <f aca="false">SUM(E69:E71)</f>
        <v>144.8</v>
      </c>
      <c r="F72" s="100" t="n">
        <f aca="false">SUM(F69:F71)</f>
        <v>124.6</v>
      </c>
      <c r="G72" s="100" t="n">
        <f aca="false">SUM(G69:G71)</f>
        <v>110.6</v>
      </c>
      <c r="H72" s="100" t="n">
        <f aca="false">SUM(H69:H71)</f>
        <v>102.4</v>
      </c>
      <c r="I72" s="100" t="n">
        <f aca="false">SUM(I69:I71)</f>
        <v>99.3</v>
      </c>
      <c r="J72" s="100" t="n">
        <f aca="false">SUM(J69:J71)</f>
        <v>102.2</v>
      </c>
      <c r="K72" s="100" t="n">
        <f aca="false">SUM(K69:K71)</f>
        <v>103</v>
      </c>
      <c r="L72" s="100" t="n">
        <f aca="false">SUM(L69:L71)</f>
        <v>102</v>
      </c>
      <c r="M72" s="100" t="n">
        <f aca="false">SUM(M69:M71)</f>
        <v>95.8</v>
      </c>
      <c r="N72" s="117" t="n">
        <f aca="false">SUM(N69:N71)</f>
        <v>101.90025</v>
      </c>
      <c r="O72" s="117" t="n">
        <f aca="false">SUM(O69:O71)</f>
        <v>79.3676666666667</v>
      </c>
      <c r="P72" s="117" t="n">
        <f aca="false">SUM(P69:P71)</f>
        <v>126.666666666667</v>
      </c>
      <c r="Q72" s="117" t="n">
        <f aca="false">SUM(Q69:Q71)</f>
        <v>101.3</v>
      </c>
      <c r="R72" s="117" t="n">
        <f aca="false">SUM(R69:R71)</f>
        <v>100.266666666667</v>
      </c>
      <c r="S72" s="117" t="n">
        <f aca="false">SUM(S69:S71)</f>
        <v>101.90025</v>
      </c>
      <c r="T72" s="117" t="n">
        <f aca="false">SUM(T69:T71)</f>
        <v>101.325</v>
      </c>
      <c r="U72" s="117" t="n">
        <f aca="false">SUM(U69:U71)</f>
        <v>101.325</v>
      </c>
    </row>
    <row r="73" customFormat="false" ht="12.75" hidden="false" customHeight="false" outlineLevel="0" collapsed="false">
      <c r="A73" s="110" t="s">
        <v>119</v>
      </c>
      <c r="B73" s="100" t="n">
        <f aca="false">B50+B58+B65+B72</f>
        <v>336.063</v>
      </c>
      <c r="C73" s="100" t="n">
        <f aca="false">C50+C58+C65+C72</f>
        <v>343.858</v>
      </c>
      <c r="D73" s="100" t="n">
        <f aca="false">D50+D58+D65+D72</f>
        <v>358.7</v>
      </c>
      <c r="E73" s="100" t="n">
        <f aca="false">E50+E58+E65+E72</f>
        <v>540.447</v>
      </c>
      <c r="F73" s="100" t="n">
        <f aca="false">F50+F58+F65+F72</f>
        <v>494.4</v>
      </c>
      <c r="G73" s="100" t="n">
        <f aca="false">G50+G58+G65+G72</f>
        <v>484.2</v>
      </c>
      <c r="H73" s="100" t="n">
        <f aca="false">H50+H58+H65+H72</f>
        <v>493.8</v>
      </c>
      <c r="I73" s="100" t="n">
        <f aca="false">I50+I58+I65+I72</f>
        <v>471.4</v>
      </c>
      <c r="J73" s="100" t="n">
        <f aca="false">J50+J58+J65+J72</f>
        <v>422.7</v>
      </c>
      <c r="K73" s="100" t="n">
        <f aca="false">K50+K58+K65+K72</f>
        <v>398.29</v>
      </c>
      <c r="L73" s="100" t="n">
        <f aca="false">L50+L58+L65+L72</f>
        <v>438.88</v>
      </c>
      <c r="M73" s="100" t="n">
        <f aca="false">M50+M58+M65+M72</f>
        <v>473.378602</v>
      </c>
      <c r="N73" s="117" t="n">
        <f aca="false">N50+N58+N65+N72</f>
        <v>438.009716833333</v>
      </c>
      <c r="O73" s="117" t="n">
        <f aca="false">O50+O58+O65+O72</f>
        <v>346.9545</v>
      </c>
      <c r="P73" s="117" t="n">
        <f aca="false">P50+P58+P65+P72</f>
        <v>506.349</v>
      </c>
      <c r="Q73" s="117" t="n">
        <f aca="false">Q50+Q58+Q65+Q72</f>
        <v>462.633333333333</v>
      </c>
      <c r="R73" s="117" t="n">
        <f aca="false">R50+R58+R65+R72</f>
        <v>436.849534</v>
      </c>
      <c r="S73" s="117" t="n">
        <f aca="false">S50+S58+S65+S72</f>
        <v>438.1523835</v>
      </c>
      <c r="T73" s="117" t="n">
        <f aca="false">T50+T58+T65+T72</f>
        <v>420.3401875</v>
      </c>
      <c r="U73" s="117" t="n">
        <f aca="false">U50+U58+U65+U72</f>
        <v>420.3401875</v>
      </c>
    </row>
    <row r="74" customFormat="false" ht="12.75" hidden="false" customHeight="false" outlineLevel="0" collapsed="false">
      <c r="A74" s="110" t="s">
        <v>120</v>
      </c>
      <c r="B74" s="100" t="n">
        <f aca="false">B68+B61+B53+B46</f>
        <v>771.977</v>
      </c>
      <c r="C74" s="100" t="n">
        <f aca="false">C68+C61+C53+C46</f>
        <v>761.189</v>
      </c>
      <c r="D74" s="100" t="n">
        <f aca="false">D68+D61+D53+D46</f>
        <v>896.8</v>
      </c>
      <c r="E74" s="100" t="n">
        <f aca="false">E68+E61+E53+E46</f>
        <v>780.8</v>
      </c>
      <c r="F74" s="100" t="n">
        <f aca="false">F68+F61+F53+F46</f>
        <v>785.4</v>
      </c>
      <c r="G74" s="100" t="n">
        <f aca="false">G68+G61+G53+G46</f>
        <v>789</v>
      </c>
      <c r="H74" s="100" t="n">
        <f aca="false">H68+H61+H53+H46</f>
        <v>796.1</v>
      </c>
      <c r="I74" s="100" t="n">
        <f aca="false">I68+I61+I53+I46</f>
        <v>784.6</v>
      </c>
      <c r="J74" s="100" t="n">
        <f aca="false">J68+J61+J53+J46</f>
        <v>778.6</v>
      </c>
      <c r="K74" s="100" t="n">
        <f aca="false">K68+K61+K53+K46</f>
        <v>749</v>
      </c>
      <c r="L74" s="100" t="n">
        <f aca="false">L68+L61+L53+L46</f>
        <v>794</v>
      </c>
      <c r="M74" s="100" t="n">
        <f aca="false">M68+M61+M53+M46</f>
        <v>807.214</v>
      </c>
      <c r="N74" s="117" t="n">
        <f aca="false">N68+N61+N53+N46</f>
        <v>791.223333333333</v>
      </c>
      <c r="O74" s="117" t="n">
        <f aca="false">O68+O61+O53+O46</f>
        <v>809.988666666667</v>
      </c>
      <c r="P74" s="117" t="n">
        <f aca="false">P68+P61+P53+P46</f>
        <v>785.066666666667</v>
      </c>
      <c r="Q74" s="117" t="n">
        <f aca="false">Q68+Q61+Q53+Q46</f>
        <v>786.433333333333</v>
      </c>
      <c r="R74" s="117" t="n">
        <f aca="false">R68+R61+R53+R46</f>
        <v>783.404666666667</v>
      </c>
      <c r="S74" s="117" t="n">
        <f aca="false">S68+S61+S53+S46</f>
        <v>791.223333333333</v>
      </c>
      <c r="T74" s="117" t="n">
        <f aca="false">T68+T61+T53+T46</f>
        <v>693.221333333333</v>
      </c>
      <c r="U74" s="117" t="n">
        <f aca="false">U68+U61+U53+U46</f>
        <v>693.221333333333</v>
      </c>
    </row>
    <row r="75" customFormat="false" ht="12.75" hidden="false" customHeight="false" outlineLevel="0" collapsed="false">
      <c r="A75" s="92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97"/>
      <c r="Q75" s="97"/>
      <c r="R75" s="97"/>
      <c r="S75" s="97"/>
      <c r="T75" s="105"/>
      <c r="U75" s="105"/>
    </row>
    <row r="76" customFormat="false" ht="15.75" hidden="false" customHeight="false" outlineLevel="0" collapsed="false">
      <c r="A76" s="91" t="s">
        <v>48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56"/>
      <c r="O76" s="56"/>
      <c r="P76" s="97"/>
      <c r="Q76" s="97"/>
      <c r="R76" s="97"/>
      <c r="S76" s="97"/>
      <c r="T76" s="56"/>
      <c r="U76" s="56"/>
    </row>
    <row r="77" customFormat="false" ht="12.75" hidden="false" customHeight="false" outlineLevel="0" collapsed="false">
      <c r="A77" s="92" t="s">
        <v>49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56"/>
      <c r="O77" s="56"/>
      <c r="P77" s="93"/>
      <c r="Q77" s="93"/>
      <c r="R77" s="93"/>
      <c r="S77" s="93"/>
      <c r="T77" s="56"/>
      <c r="U77" s="56"/>
    </row>
    <row r="78" customFormat="false" ht="12.75" hidden="false" customHeight="false" outlineLevel="0" collapsed="false">
      <c r="A78" s="95" t="s">
        <v>121</v>
      </c>
      <c r="B78" s="96" t="n">
        <v>274</v>
      </c>
      <c r="C78" s="96" t="n">
        <f aca="false">Detail!O338/Detail!O1/1000</f>
        <v>274</v>
      </c>
      <c r="D78" s="96" t="n">
        <v>274</v>
      </c>
      <c r="E78" s="96" t="n">
        <v>274</v>
      </c>
      <c r="F78" s="96" t="n">
        <f aca="false">Detail!R338/Detail!R1/1000</f>
        <v>274</v>
      </c>
      <c r="G78" s="96" t="n">
        <f aca="false">Detail!S338/Detail!S1/1000</f>
        <v>274</v>
      </c>
      <c r="H78" s="96" t="n">
        <v>292.3</v>
      </c>
      <c r="I78" s="96" t="n">
        <v>292.3</v>
      </c>
      <c r="J78" s="96" t="n">
        <f aca="false">Detail!V338/Detail!V1/1000</f>
        <v>289</v>
      </c>
      <c r="K78" s="96" t="n">
        <f aca="false">Detail!W338/Detail!W1/1000</f>
        <v>274</v>
      </c>
      <c r="L78" s="96" t="n">
        <f aca="false">Detail!X338/Detail!X1/1000</f>
        <v>274</v>
      </c>
      <c r="M78" s="96" t="n">
        <f aca="false">Detail!Y338/Detail!Y1/1000</f>
        <v>274</v>
      </c>
      <c r="N78" s="56" t="n">
        <f aca="false">SUM(B78:M78)/12</f>
        <v>278.3</v>
      </c>
      <c r="O78" s="97" t="n">
        <f aca="false">AVERAGE(B78:D78)</f>
        <v>274</v>
      </c>
      <c r="P78" s="97" t="n">
        <f aca="false">AVERAGE(E78:G78)</f>
        <v>274</v>
      </c>
      <c r="Q78" s="97" t="n">
        <f aca="false">AVERAGE(H78:J78)</f>
        <v>291.2</v>
      </c>
      <c r="R78" s="97" t="n">
        <f aca="false">AVERAGE(K78:M78)</f>
        <v>274</v>
      </c>
      <c r="S78" s="97" t="n">
        <f aca="false">AVERAGE(B78:M78)</f>
        <v>278.3</v>
      </c>
      <c r="T78" s="56" t="n">
        <v>292</v>
      </c>
      <c r="U78" s="56" t="n">
        <v>292</v>
      </c>
    </row>
    <row r="79" customFormat="false" ht="12.75" hidden="false" customHeight="false" outlineLevel="0" collapsed="false">
      <c r="A79" s="95" t="s">
        <v>18</v>
      </c>
      <c r="B79" s="96" t="n">
        <v>238.075</v>
      </c>
      <c r="C79" s="96" t="n">
        <v>243.981</v>
      </c>
      <c r="D79" s="96" t="n">
        <v>241.5</v>
      </c>
      <c r="E79" s="96" t="n">
        <v>185.1</v>
      </c>
      <c r="F79" s="96" t="n">
        <v>208.8</v>
      </c>
      <c r="G79" s="96" t="n">
        <v>207.2</v>
      </c>
      <c r="H79" s="96" t="n">
        <v>233.8</v>
      </c>
      <c r="I79" s="96" t="n">
        <v>253.4</v>
      </c>
      <c r="J79" s="96" t="n">
        <v>235.1</v>
      </c>
      <c r="K79" s="96" t="n">
        <f aca="false">Detail!W350/Detail!W1/1000</f>
        <v>229.064</v>
      </c>
      <c r="L79" s="96" t="n">
        <f aca="false">Detail!X350/Detail!X1/1000</f>
        <v>223.858</v>
      </c>
      <c r="M79" s="96" t="n">
        <f aca="false">Detail!Y350/Detail!Y1/1000</f>
        <v>181.662</v>
      </c>
      <c r="N79" s="56" t="n">
        <f aca="false">SUM(B79:M79)/12</f>
        <v>223.461666666667</v>
      </c>
      <c r="O79" s="97" t="n">
        <f aca="false">AVERAGE(B79:D79)</f>
        <v>241.185333333333</v>
      </c>
      <c r="P79" s="97" t="n">
        <f aca="false">AVERAGE(E79:G79)</f>
        <v>200.366666666667</v>
      </c>
      <c r="Q79" s="97" t="n">
        <f aca="false">AVERAGE(H79:J79)</f>
        <v>240.766666666667</v>
      </c>
      <c r="R79" s="97" t="n">
        <f aca="false">AVERAGE(K79:M79)</f>
        <v>211.528</v>
      </c>
      <c r="S79" s="97" t="n">
        <f aca="false">AVERAGE(B79:M79)</f>
        <v>223.461666666667</v>
      </c>
      <c r="T79" s="56" t="n">
        <v>223.988333333333</v>
      </c>
      <c r="U79" s="56" t="n">
        <v>223.988333333333</v>
      </c>
    </row>
    <row r="80" customFormat="false" ht="12.75" hidden="false" customHeight="false" outlineLevel="0" collapsed="false">
      <c r="A80" s="95" t="s">
        <v>111</v>
      </c>
      <c r="B80" s="96" t="n">
        <v>15</v>
      </c>
      <c r="C80" s="96" t="n">
        <v>14.712</v>
      </c>
      <c r="D80" s="96" t="n">
        <v>0</v>
      </c>
      <c r="E80" s="96" t="n">
        <v>0</v>
      </c>
      <c r="F80" s="96" t="n">
        <v>0</v>
      </c>
      <c r="G80" s="96" t="n">
        <v>0</v>
      </c>
      <c r="H80" s="96" t="n">
        <v>0</v>
      </c>
      <c r="I80" s="96" t="n">
        <v>0</v>
      </c>
      <c r="J80" s="96" t="n">
        <v>0</v>
      </c>
      <c r="K80" s="96" t="n">
        <v>0</v>
      </c>
      <c r="L80" s="96" t="n">
        <v>0</v>
      </c>
      <c r="M80" s="96" t="n">
        <v>0</v>
      </c>
      <c r="N80" s="56" t="n">
        <f aca="false">SUM(B80:M80)/12</f>
        <v>2.476</v>
      </c>
      <c r="O80" s="97" t="n">
        <f aca="false">AVERAGE(B80:D80)</f>
        <v>9.904</v>
      </c>
      <c r="P80" s="97" t="n">
        <f aca="false">AVERAGE(E80:G80)</f>
        <v>0</v>
      </c>
      <c r="Q80" s="97" t="n">
        <f aca="false">AVERAGE(H80:J80)</f>
        <v>0</v>
      </c>
      <c r="R80" s="97" t="n">
        <f aca="false">AVERAGE(K80:M80)</f>
        <v>0</v>
      </c>
      <c r="S80" s="97" t="n">
        <f aca="false">AVERAGE(B80:M80)</f>
        <v>2.476</v>
      </c>
      <c r="T80" s="56" t="n">
        <v>0</v>
      </c>
      <c r="U80" s="56" t="n">
        <v>0</v>
      </c>
    </row>
    <row r="81" customFormat="false" ht="12.75" hidden="false" customHeight="false" outlineLevel="0" collapsed="false">
      <c r="A81" s="95" t="s">
        <v>22</v>
      </c>
      <c r="B81" s="99" t="n">
        <v>45.605</v>
      </c>
      <c r="C81" s="99" t="n">
        <v>31.693</v>
      </c>
      <c r="D81" s="99" t="n">
        <v>3</v>
      </c>
      <c r="E81" s="99" t="n">
        <v>3.2</v>
      </c>
      <c r="F81" s="99" t="n">
        <v>3.2</v>
      </c>
      <c r="G81" s="99" t="n">
        <v>6.9</v>
      </c>
      <c r="H81" s="99" t="n">
        <v>117.3</v>
      </c>
      <c r="I81" s="99" t="n">
        <v>93.5</v>
      </c>
      <c r="J81" s="99" t="n">
        <v>0</v>
      </c>
      <c r="K81" s="99" t="n">
        <f aca="false">Detail!W376/1000</f>
        <v>43</v>
      </c>
      <c r="L81" s="99" t="n">
        <f aca="false">Detail!X376/1000</f>
        <v>43</v>
      </c>
      <c r="M81" s="99" t="n">
        <f aca="false">Detail!Y376/1000</f>
        <v>11.7</v>
      </c>
      <c r="N81" s="100" t="n">
        <f aca="false">SUM(B81:M81)/12</f>
        <v>33.5081666666667</v>
      </c>
      <c r="O81" s="97" t="n">
        <f aca="false">AVERAGE(B81:D81)</f>
        <v>26.766</v>
      </c>
      <c r="P81" s="97" t="n">
        <f aca="false">AVERAGE(E81:G81)</f>
        <v>4.43333333333333</v>
      </c>
      <c r="Q81" s="97" t="n">
        <f aca="false">AVERAGE(H81:J81)</f>
        <v>70.2666666666667</v>
      </c>
      <c r="R81" s="97" t="n">
        <f aca="false">AVERAGE(K81:M81)</f>
        <v>32.5666666666667</v>
      </c>
      <c r="S81" s="97" t="n">
        <f aca="false">AVERAGE(B81:M81)</f>
        <v>33.5081666666667</v>
      </c>
      <c r="T81" s="100" t="n">
        <v>17.6583333333333</v>
      </c>
      <c r="U81" s="100" t="n">
        <v>17.6583333333333</v>
      </c>
    </row>
    <row r="82" customFormat="false" ht="12.75" hidden="false" customHeight="false" outlineLevel="0" collapsed="false">
      <c r="A82" s="92" t="s">
        <v>50</v>
      </c>
      <c r="B82" s="56" t="n">
        <f aca="false">SUM(B79:B81)</f>
        <v>298.68</v>
      </c>
      <c r="C82" s="56" t="n">
        <f aca="false">SUM(C79:C81)</f>
        <v>290.386</v>
      </c>
      <c r="D82" s="56" t="n">
        <f aca="false">SUM(D79:D81)</f>
        <v>244.5</v>
      </c>
      <c r="E82" s="56" t="n">
        <f aca="false">SUM(E79:E81)</f>
        <v>188.3</v>
      </c>
      <c r="F82" s="56" t="n">
        <f aca="false">SUM(F79:F81)</f>
        <v>212</v>
      </c>
      <c r="G82" s="56" t="n">
        <f aca="false">SUM(G79:G81)</f>
        <v>214.1</v>
      </c>
      <c r="H82" s="56" t="n">
        <f aca="false">SUM(H79:H81)</f>
        <v>351.1</v>
      </c>
      <c r="I82" s="56" t="n">
        <f aca="false">SUM(I79:I81)</f>
        <v>346.9</v>
      </c>
      <c r="J82" s="56" t="n">
        <f aca="false">SUM(J79:J81)</f>
        <v>235.1</v>
      </c>
      <c r="K82" s="56" t="n">
        <f aca="false">SUM(K79:K81)</f>
        <v>272.064</v>
      </c>
      <c r="L82" s="56" t="n">
        <f aca="false">SUM(L79:L81)</f>
        <v>266.858</v>
      </c>
      <c r="M82" s="56" t="n">
        <f aca="false">SUM(M79:M81)</f>
        <v>193.362</v>
      </c>
      <c r="N82" s="56" t="n">
        <f aca="false">SUM(N79:N81)</f>
        <v>259.445833333333</v>
      </c>
      <c r="O82" s="56" t="n">
        <f aca="false">SUM(O79:O81)</f>
        <v>277.855333333333</v>
      </c>
      <c r="P82" s="56" t="n">
        <f aca="false">SUM(P79:P81)</f>
        <v>204.8</v>
      </c>
      <c r="Q82" s="56" t="n">
        <f aca="false">SUM(Q79:Q81)</f>
        <v>311.033333333333</v>
      </c>
      <c r="R82" s="56" t="n">
        <f aca="false">SUM(R79:R81)</f>
        <v>244.094666666667</v>
      </c>
      <c r="S82" s="56" t="n">
        <f aca="false">SUM(S79:S81)</f>
        <v>259.445833333333</v>
      </c>
      <c r="T82" s="56" t="n">
        <f aca="false">SUM(T79:T81)</f>
        <v>241.646666666667</v>
      </c>
      <c r="U82" s="56" t="n">
        <f aca="false">SUM(U79:U81)</f>
        <v>241.646666666667</v>
      </c>
    </row>
    <row r="83" customFormat="false" ht="12.75" hidden="false" customHeight="false" outlineLevel="0" collapsed="false">
      <c r="A83" s="92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94"/>
      <c r="Q83" s="94"/>
      <c r="R83" s="94"/>
      <c r="S83" s="94"/>
      <c r="T83" s="56"/>
      <c r="U83" s="56"/>
    </row>
    <row r="84" customFormat="false" ht="12.75" hidden="false" customHeight="false" outlineLevel="0" collapsed="false">
      <c r="A84" s="92" t="s">
        <v>51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56"/>
      <c r="O84" s="56"/>
      <c r="P84" s="93"/>
      <c r="Q84" s="93"/>
      <c r="R84" s="93"/>
      <c r="S84" s="93"/>
      <c r="T84" s="56"/>
      <c r="U84" s="56"/>
    </row>
    <row r="85" customFormat="false" ht="12.75" hidden="false" customHeight="false" outlineLevel="0" collapsed="false">
      <c r="A85" s="95" t="s">
        <v>121</v>
      </c>
      <c r="B85" s="96" t="n">
        <v>266.865</v>
      </c>
      <c r="C85" s="96" t="n">
        <v>277.414</v>
      </c>
      <c r="D85" s="96" t="n">
        <v>291.7</v>
      </c>
      <c r="E85" s="96" t="n">
        <v>331.7</v>
      </c>
      <c r="F85" s="96" t="n">
        <v>304.7</v>
      </c>
      <c r="G85" s="96" t="n">
        <v>292.6</v>
      </c>
      <c r="H85" s="96" t="n">
        <v>307</v>
      </c>
      <c r="I85" s="96" t="n">
        <v>307</v>
      </c>
      <c r="J85" s="96" t="n">
        <v>304.2</v>
      </c>
      <c r="K85" s="96" t="n">
        <f aca="false">Detail!W395/Detail!W1/1000</f>
        <v>261.7</v>
      </c>
      <c r="L85" s="96" t="n">
        <f aca="false">Detail!X395/Detail!X1/1000</f>
        <v>261.7</v>
      </c>
      <c r="M85" s="96" t="n">
        <f aca="false">Detail!Y395/Detail!Y1/1000</f>
        <v>261.7</v>
      </c>
      <c r="N85" s="56" t="n">
        <f aca="false">SUM(B85:M85)/12</f>
        <v>289.02325</v>
      </c>
      <c r="O85" s="97" t="n">
        <f aca="false">AVERAGE(B85:D85)</f>
        <v>278.659666666667</v>
      </c>
      <c r="P85" s="97" t="n">
        <f aca="false">AVERAGE(E85:G85)</f>
        <v>309.666666666667</v>
      </c>
      <c r="Q85" s="97" t="n">
        <f aca="false">AVERAGE(H85:J85)</f>
        <v>306.066666666667</v>
      </c>
      <c r="R85" s="97" t="n">
        <f aca="false">AVERAGE(K85:M85)</f>
        <v>261.7</v>
      </c>
      <c r="S85" s="97" t="n">
        <f aca="false">AVERAGE(B85:M85)</f>
        <v>289.02325</v>
      </c>
      <c r="T85" s="56" t="n">
        <v>276.9</v>
      </c>
      <c r="U85" s="56" t="n">
        <v>276.9</v>
      </c>
    </row>
    <row r="86" customFormat="false" ht="12.75" hidden="false" customHeight="false" outlineLevel="0" collapsed="false">
      <c r="A86" s="95" t="s">
        <v>18</v>
      </c>
      <c r="B86" s="96" t="n">
        <v>235.253</v>
      </c>
      <c r="C86" s="96" t="n">
        <v>236.677</v>
      </c>
      <c r="D86" s="96" t="n">
        <v>213.8</v>
      </c>
      <c r="E86" s="96" t="n">
        <v>250.3</v>
      </c>
      <c r="F86" s="96" t="n">
        <v>222.5</v>
      </c>
      <c r="G86" s="96" t="n">
        <v>243.3</v>
      </c>
      <c r="H86" s="96" t="n">
        <v>247.1</v>
      </c>
      <c r="I86" s="96" t="n">
        <v>264.7</v>
      </c>
      <c r="J86" s="96" t="n">
        <v>255.1</v>
      </c>
      <c r="K86" s="96" t="n">
        <f aca="false">Detail!W408/Detail!W1/1000</f>
        <v>194.9665</v>
      </c>
      <c r="L86" s="96" t="n">
        <f aca="false">Detail!X408/Detail!X1/1000</f>
        <v>242.0725</v>
      </c>
      <c r="M86" s="96" t="n">
        <f aca="false">Detail!Y408/Detail!Y1/1000</f>
        <v>315.3485</v>
      </c>
      <c r="N86" s="56" t="n">
        <f aca="false">SUM(B86:M86)/12</f>
        <v>243.426458333333</v>
      </c>
      <c r="O86" s="97" t="n">
        <f aca="false">AVERAGE(B86:D86)</f>
        <v>228.576666666667</v>
      </c>
      <c r="P86" s="97" t="n">
        <f aca="false">AVERAGE(E86:G86)</f>
        <v>238.7</v>
      </c>
      <c r="Q86" s="97" t="n">
        <f aca="false">AVERAGE(H86:J86)</f>
        <v>255.633333333333</v>
      </c>
      <c r="R86" s="97" t="n">
        <f aca="false">AVERAGE(K86:M86)</f>
        <v>250.795833333333</v>
      </c>
      <c r="S86" s="97" t="n">
        <f aca="false">AVERAGE(B86:M86)</f>
        <v>243.426458333333</v>
      </c>
      <c r="T86" s="56" t="n">
        <v>265.751116666667</v>
      </c>
      <c r="U86" s="56" t="n">
        <v>265.751116666667</v>
      </c>
    </row>
    <row r="87" customFormat="false" ht="12.75" hidden="false" customHeight="false" outlineLevel="0" collapsed="false">
      <c r="A87" s="95" t="s">
        <v>111</v>
      </c>
      <c r="B87" s="96" t="n">
        <v>0</v>
      </c>
      <c r="C87" s="96" t="n">
        <v>0</v>
      </c>
      <c r="D87" s="96" t="n">
        <v>0</v>
      </c>
      <c r="E87" s="96" t="n">
        <v>0</v>
      </c>
      <c r="F87" s="96" t="n">
        <v>0</v>
      </c>
      <c r="G87" s="96" t="n">
        <v>0</v>
      </c>
      <c r="H87" s="96" t="n">
        <v>0</v>
      </c>
      <c r="I87" s="96" t="n">
        <v>0</v>
      </c>
      <c r="J87" s="96" t="n">
        <v>0</v>
      </c>
      <c r="K87" s="96" t="n">
        <v>0</v>
      </c>
      <c r="L87" s="96" t="n">
        <v>0</v>
      </c>
      <c r="M87" s="96" t="n">
        <v>0</v>
      </c>
      <c r="N87" s="56" t="n">
        <f aca="false">SUM(B87:M87)/12</f>
        <v>0</v>
      </c>
      <c r="O87" s="97" t="n">
        <f aca="false">AVERAGE(B87:D87)</f>
        <v>0</v>
      </c>
      <c r="P87" s="97" t="n">
        <f aca="false">AVERAGE(E87:G87)</f>
        <v>0</v>
      </c>
      <c r="Q87" s="97" t="n">
        <f aca="false">AVERAGE(H87:J87)</f>
        <v>0</v>
      </c>
      <c r="R87" s="97" t="n">
        <f aca="false">AVERAGE(K87:M87)</f>
        <v>0</v>
      </c>
      <c r="S87" s="97" t="n">
        <f aca="false">AVERAGE(B87:M87)</f>
        <v>0</v>
      </c>
      <c r="T87" s="56" t="n">
        <v>0</v>
      </c>
      <c r="U87" s="56" t="n">
        <v>0</v>
      </c>
    </row>
    <row r="88" customFormat="false" ht="12.75" hidden="false" customHeight="false" outlineLevel="0" collapsed="false">
      <c r="A88" s="95" t="s">
        <v>22</v>
      </c>
      <c r="B88" s="99" t="n">
        <v>105.898</v>
      </c>
      <c r="C88" s="99" t="n">
        <v>81.104</v>
      </c>
      <c r="D88" s="99" t="n">
        <v>87.5</v>
      </c>
      <c r="E88" s="99" t="n">
        <v>124.8</v>
      </c>
      <c r="F88" s="99" t="n">
        <v>177.9</v>
      </c>
      <c r="G88" s="99" t="n">
        <v>130.2</v>
      </c>
      <c r="H88" s="99" t="n">
        <v>0.4</v>
      </c>
      <c r="I88" s="99" t="n">
        <v>0.2</v>
      </c>
      <c r="J88" s="99" t="n">
        <v>81.9</v>
      </c>
      <c r="K88" s="99" t="n">
        <f aca="false">Detail!W436/1000</f>
        <v>26</v>
      </c>
      <c r="L88" s="99" t="n">
        <f aca="false">Detail!X436/1000</f>
        <v>26</v>
      </c>
      <c r="M88" s="99" t="n">
        <f aca="false">Detail!Y436/1000</f>
        <v>102.1</v>
      </c>
      <c r="N88" s="100" t="n">
        <f aca="false">SUM(B88:M88)/12</f>
        <v>78.6668333333333</v>
      </c>
      <c r="O88" s="97" t="n">
        <f aca="false">AVERAGE(B88:D88)</f>
        <v>91.5006666666667</v>
      </c>
      <c r="P88" s="97" t="n">
        <f aca="false">AVERAGE(E88:G88)</f>
        <v>144.3</v>
      </c>
      <c r="Q88" s="97" t="n">
        <f aca="false">AVERAGE(H88:J88)</f>
        <v>27.5</v>
      </c>
      <c r="R88" s="97" t="n">
        <f aca="false">AVERAGE(K88:M88)</f>
        <v>51.3666666666667</v>
      </c>
      <c r="S88" s="97" t="n">
        <f aca="false">AVERAGE(B88:M88)</f>
        <v>78.6668333333333</v>
      </c>
      <c r="T88" s="100" t="n">
        <v>87.4916666666667</v>
      </c>
      <c r="U88" s="100" t="n">
        <v>87.4916666666667</v>
      </c>
    </row>
    <row r="89" customFormat="false" ht="12.75" hidden="false" customHeight="false" outlineLevel="0" collapsed="false">
      <c r="A89" s="92" t="s">
        <v>122</v>
      </c>
      <c r="B89" s="100" t="n">
        <f aca="false">SUM(B86:B88)</f>
        <v>341.151</v>
      </c>
      <c r="C89" s="100" t="n">
        <f aca="false">SUM(C86:C88)</f>
        <v>317.781</v>
      </c>
      <c r="D89" s="100" t="n">
        <f aca="false">SUM(D86:D88)</f>
        <v>301.3</v>
      </c>
      <c r="E89" s="100" t="n">
        <f aca="false">SUM(E86:E88)</f>
        <v>375.1</v>
      </c>
      <c r="F89" s="100" t="n">
        <f aca="false">SUM(F86:F88)</f>
        <v>400.4</v>
      </c>
      <c r="G89" s="100" t="n">
        <f aca="false">SUM(G86:G88)</f>
        <v>373.5</v>
      </c>
      <c r="H89" s="100" t="n">
        <f aca="false">SUM(H86:H88)</f>
        <v>247.5</v>
      </c>
      <c r="I89" s="100" t="n">
        <f aca="false">SUM(I86:I88)</f>
        <v>264.9</v>
      </c>
      <c r="J89" s="100" t="n">
        <f aca="false">SUM(J86:J88)</f>
        <v>337</v>
      </c>
      <c r="K89" s="100" t="n">
        <f aca="false">SUM(K86:K88)</f>
        <v>220.9665</v>
      </c>
      <c r="L89" s="100" t="n">
        <f aca="false">SUM(L86:L88)</f>
        <v>268.0725</v>
      </c>
      <c r="M89" s="100" t="n">
        <f aca="false">SUM(M86:M88)</f>
        <v>417.4485</v>
      </c>
      <c r="N89" s="117" t="n">
        <f aca="false">SUM(N86:N88)</f>
        <v>322.093291666667</v>
      </c>
      <c r="O89" s="117" t="n">
        <f aca="false">SUM(O86:O88)</f>
        <v>320.077333333333</v>
      </c>
      <c r="P89" s="117" t="n">
        <f aca="false">SUM(P86:P88)</f>
        <v>383</v>
      </c>
      <c r="Q89" s="117" t="n">
        <f aca="false">SUM(Q86:Q88)</f>
        <v>283.133333333333</v>
      </c>
      <c r="R89" s="117" t="n">
        <f aca="false">SUM(R86:R88)</f>
        <v>302.1625</v>
      </c>
      <c r="S89" s="94" t="n">
        <f aca="false">SUM(S86:S88)</f>
        <v>322.093291666667</v>
      </c>
      <c r="T89" s="117" t="n">
        <f aca="false">SUM(T86:T88)</f>
        <v>353.242783333333</v>
      </c>
      <c r="U89" s="117" t="n">
        <f aca="false">SUM(U86:U88)</f>
        <v>353.242783333333</v>
      </c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  <c r="HU89" s="55"/>
      <c r="HV89" s="55"/>
      <c r="HW89" s="55"/>
      <c r="HX89" s="55"/>
      <c r="HY89" s="55"/>
      <c r="HZ89" s="55"/>
      <c r="IA89" s="55"/>
      <c r="IB89" s="55"/>
      <c r="IC89" s="55"/>
      <c r="ID89" s="55"/>
      <c r="IE89" s="55"/>
      <c r="IF89" s="55"/>
      <c r="IG89" s="55"/>
      <c r="IH89" s="55"/>
      <c r="II89" s="55"/>
      <c r="IJ89" s="55"/>
      <c r="IK89" s="55"/>
      <c r="IL89" s="55"/>
      <c r="IM89" s="55"/>
      <c r="IN89" s="55"/>
      <c r="IO89" s="55"/>
      <c r="IP89" s="55"/>
      <c r="IQ89" s="55"/>
      <c r="IR89" s="55"/>
      <c r="IS89" s="55"/>
      <c r="IT89" s="55"/>
      <c r="IU89" s="55"/>
      <c r="IV89" s="55"/>
      <c r="IW89" s="55"/>
    </row>
    <row r="90" customFormat="false" ht="12.75" hidden="false" customHeight="false" outlineLevel="0" collapsed="false">
      <c r="A90" s="110" t="s">
        <v>123</v>
      </c>
      <c r="B90" s="100" t="n">
        <f aca="false">B82+B89</f>
        <v>639.831</v>
      </c>
      <c r="C90" s="100" t="n">
        <f aca="false">C82+C89</f>
        <v>608.167</v>
      </c>
      <c r="D90" s="100" t="n">
        <f aca="false">D82+D89</f>
        <v>545.8</v>
      </c>
      <c r="E90" s="100" t="n">
        <f aca="false">E82+E89</f>
        <v>563.4</v>
      </c>
      <c r="F90" s="100" t="n">
        <f aca="false">F82+F89</f>
        <v>612.4</v>
      </c>
      <c r="G90" s="100" t="n">
        <f aca="false">G82+G89</f>
        <v>587.6</v>
      </c>
      <c r="H90" s="100" t="n">
        <f aca="false">H82+H89</f>
        <v>598.6</v>
      </c>
      <c r="I90" s="100" t="n">
        <f aca="false">I82+I89</f>
        <v>611.8</v>
      </c>
      <c r="J90" s="100" t="n">
        <f aca="false">J82+J89</f>
        <v>572.1</v>
      </c>
      <c r="K90" s="100" t="n">
        <f aca="false">K82+K89</f>
        <v>493.0305</v>
      </c>
      <c r="L90" s="100" t="n">
        <f aca="false">L82+L89</f>
        <v>534.9305</v>
      </c>
      <c r="M90" s="100" t="n">
        <f aca="false">M82+M89</f>
        <v>610.8105</v>
      </c>
      <c r="N90" s="117" t="n">
        <f aca="false">N82+N89</f>
        <v>581.539125</v>
      </c>
      <c r="O90" s="119" t="n">
        <f aca="false">O82+O89</f>
        <v>597.932666666667</v>
      </c>
      <c r="P90" s="119" t="n">
        <f aca="false">P82+P89</f>
        <v>587.8</v>
      </c>
      <c r="Q90" s="119" t="n">
        <f aca="false">Q82+Q89</f>
        <v>594.166666666667</v>
      </c>
      <c r="R90" s="119" t="n">
        <f aca="false">R82+R89</f>
        <v>546.257166666667</v>
      </c>
      <c r="S90" s="119" t="n">
        <f aca="false">S82+S89</f>
        <v>581.539125</v>
      </c>
      <c r="T90" s="117" t="n">
        <f aca="false">T82+T89</f>
        <v>594.88945</v>
      </c>
      <c r="U90" s="117" t="n">
        <f aca="false">U82+U89</f>
        <v>594.88945</v>
      </c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5"/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</row>
    <row r="91" customFormat="false" ht="12.75" hidden="false" customHeight="false" outlineLevel="0" collapsed="false">
      <c r="A91" s="110" t="s">
        <v>124</v>
      </c>
      <c r="B91" s="100" t="n">
        <f aca="false">B85++B78</f>
        <v>540.865</v>
      </c>
      <c r="C91" s="100" t="n">
        <f aca="false">C85++C78</f>
        <v>551.414</v>
      </c>
      <c r="D91" s="100" t="n">
        <f aca="false">D85++D78</f>
        <v>565.7</v>
      </c>
      <c r="E91" s="100" t="n">
        <f aca="false">E85++E78</f>
        <v>605.7</v>
      </c>
      <c r="F91" s="100" t="n">
        <f aca="false">F85+F78</f>
        <v>578.7</v>
      </c>
      <c r="G91" s="100" t="n">
        <f aca="false">G85++G78</f>
        <v>566.6</v>
      </c>
      <c r="H91" s="100" t="n">
        <f aca="false">H85++H78</f>
        <v>599.3</v>
      </c>
      <c r="I91" s="100" t="n">
        <f aca="false">I85++I78</f>
        <v>599.3</v>
      </c>
      <c r="J91" s="100" t="n">
        <f aca="false">J85++J78</f>
        <v>593.2</v>
      </c>
      <c r="K91" s="100" t="n">
        <f aca="false">K85++K78</f>
        <v>535.7</v>
      </c>
      <c r="L91" s="100" t="n">
        <f aca="false">L85++L78</f>
        <v>535.7</v>
      </c>
      <c r="M91" s="100" t="n">
        <f aca="false">M85++M78</f>
        <v>535.7</v>
      </c>
      <c r="N91" s="117" t="n">
        <f aca="false">N85+N78</f>
        <v>567.32325</v>
      </c>
      <c r="O91" s="119" t="n">
        <f aca="false">O85+O78</f>
        <v>552.659666666667</v>
      </c>
      <c r="P91" s="119" t="n">
        <f aca="false">P85+P78</f>
        <v>583.666666666667</v>
      </c>
      <c r="Q91" s="119" t="n">
        <f aca="false">Q85+Q78</f>
        <v>597.266666666667</v>
      </c>
      <c r="R91" s="119" t="n">
        <f aca="false">R85+R78</f>
        <v>535.7</v>
      </c>
      <c r="S91" s="119" t="n">
        <f aca="false">S85+S78</f>
        <v>567.32325</v>
      </c>
      <c r="T91" s="117" t="n">
        <f aca="false">T85++T78</f>
        <v>568.9</v>
      </c>
      <c r="U91" s="117" t="n">
        <f aca="false">U85++U78</f>
        <v>568.9</v>
      </c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  <c r="HU91" s="55"/>
      <c r="HV91" s="55"/>
      <c r="HW91" s="55"/>
      <c r="HX91" s="55"/>
      <c r="HY91" s="55"/>
      <c r="HZ91" s="55"/>
      <c r="IA91" s="55"/>
      <c r="IB91" s="55"/>
      <c r="IC91" s="55"/>
      <c r="ID91" s="55"/>
      <c r="IE91" s="55"/>
      <c r="IF91" s="55"/>
      <c r="IG91" s="55"/>
      <c r="IH91" s="55"/>
      <c r="II91" s="55"/>
      <c r="IJ91" s="55"/>
      <c r="IK91" s="55"/>
      <c r="IL91" s="55"/>
      <c r="IM91" s="55"/>
      <c r="IN91" s="55"/>
      <c r="IO91" s="55"/>
      <c r="IP91" s="55"/>
      <c r="IQ91" s="55"/>
      <c r="IR91" s="55"/>
      <c r="IS91" s="55"/>
      <c r="IT91" s="55"/>
      <c r="IU91" s="55"/>
      <c r="IV91" s="55"/>
      <c r="IW91" s="55"/>
    </row>
    <row r="92" customFormat="false" ht="12.75" hidden="false" customHeight="false" outlineLevel="0" collapsed="false">
      <c r="A92" s="92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20"/>
      <c r="Q92" s="120"/>
      <c r="R92" s="120"/>
      <c r="S92" s="120"/>
      <c r="T92" s="105"/>
      <c r="U92" s="10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  <c r="HU92" s="55"/>
      <c r="HV92" s="55"/>
      <c r="HW92" s="55"/>
      <c r="HX92" s="55"/>
      <c r="HY92" s="55"/>
      <c r="HZ92" s="55"/>
      <c r="IA92" s="55"/>
      <c r="IB92" s="55"/>
      <c r="IC92" s="55"/>
      <c r="ID92" s="55"/>
      <c r="IE92" s="55"/>
      <c r="IF92" s="55"/>
      <c r="IG92" s="55"/>
      <c r="IH92" s="55"/>
      <c r="II92" s="55"/>
      <c r="IJ92" s="55"/>
      <c r="IK92" s="55"/>
      <c r="IL92" s="55"/>
      <c r="IM92" s="55"/>
      <c r="IN92" s="55"/>
      <c r="IO92" s="55"/>
      <c r="IP92" s="55"/>
      <c r="IQ92" s="55"/>
      <c r="IR92" s="55"/>
      <c r="IS92" s="55"/>
      <c r="IT92" s="55"/>
      <c r="IU92" s="55"/>
      <c r="IV92" s="55"/>
      <c r="IW92" s="55"/>
    </row>
    <row r="93" customFormat="false" ht="15.75" hidden="false" customHeight="false" outlineLevel="0" collapsed="false">
      <c r="A93" s="91" t="s">
        <v>56</v>
      </c>
      <c r="B93" s="121"/>
      <c r="C93" s="121"/>
      <c r="D93" s="121"/>
      <c r="E93" s="121"/>
      <c r="F93" s="122"/>
      <c r="G93" s="121"/>
      <c r="H93" s="123"/>
      <c r="I93" s="121"/>
      <c r="J93" s="121"/>
      <c r="K93" s="121"/>
      <c r="L93" s="121"/>
      <c r="M93" s="121"/>
      <c r="N93" s="124"/>
      <c r="O93" s="124"/>
      <c r="P93" s="125"/>
      <c r="Q93" s="125"/>
      <c r="R93" s="125"/>
      <c r="S93" s="125"/>
      <c r="T93" s="124"/>
      <c r="U93" s="124"/>
    </row>
    <row r="94" customFormat="false" ht="12.75" hidden="false" customHeight="false" outlineLevel="0" collapsed="false">
      <c r="A94" s="92" t="s">
        <v>125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56"/>
      <c r="O94" s="56"/>
      <c r="P94" s="93"/>
      <c r="Q94" s="93"/>
      <c r="R94" s="93"/>
      <c r="S94" s="93"/>
      <c r="T94" s="56"/>
      <c r="U94" s="56"/>
    </row>
    <row r="95" customFormat="false" ht="12.75" hidden="false" customHeight="false" outlineLevel="0" collapsed="false">
      <c r="A95" s="95" t="s">
        <v>14</v>
      </c>
      <c r="B95" s="96" t="n">
        <v>465</v>
      </c>
      <c r="C95" s="96" t="n">
        <f aca="false">Detail!O287/Detail!O1/1000</f>
        <v>465</v>
      </c>
      <c r="D95" s="96" t="n">
        <v>465</v>
      </c>
      <c r="E95" s="96" t="n">
        <v>465</v>
      </c>
      <c r="F95" s="96" t="n">
        <f aca="false">Detail!R287/Detail!R1/1000</f>
        <v>465</v>
      </c>
      <c r="G95" s="96" t="n">
        <v>465</v>
      </c>
      <c r="H95" s="96" t="n">
        <v>440</v>
      </c>
      <c r="I95" s="96" t="n">
        <v>464.2</v>
      </c>
      <c r="J95" s="96" t="n">
        <f aca="false">Detail!V287/Detail!V1/1000</f>
        <v>465</v>
      </c>
      <c r="K95" s="96" t="n">
        <f aca="false">Detail!W287/Detail!W1/1000</f>
        <v>465</v>
      </c>
      <c r="L95" s="96" t="n">
        <f aca="false">Detail!X287/Detail!X1/1000</f>
        <v>465</v>
      </c>
      <c r="M95" s="96" t="n">
        <f aca="false">Detail!Y287/Detail!Y1/1000</f>
        <v>465</v>
      </c>
      <c r="N95" s="56" t="n">
        <f aca="false">SUM(B95:M95)/12</f>
        <v>462.85</v>
      </c>
      <c r="O95" s="97" t="n">
        <f aca="false">AVERAGE(B95:D95)</f>
        <v>465</v>
      </c>
      <c r="P95" s="97" t="n">
        <f aca="false">AVERAGE(E95:G95)</f>
        <v>465</v>
      </c>
      <c r="Q95" s="97" t="n">
        <f aca="false">AVERAGE(H95:J95)</f>
        <v>456.4</v>
      </c>
      <c r="R95" s="97" t="n">
        <f aca="false">AVERAGE(K95:M95)</f>
        <v>465</v>
      </c>
      <c r="S95" s="97" t="n">
        <f aca="false">AVERAGE(B95:M95)</f>
        <v>462.85</v>
      </c>
      <c r="T95" s="56" t="n">
        <v>465</v>
      </c>
      <c r="U95" s="56" t="n">
        <v>465</v>
      </c>
    </row>
    <row r="96" customFormat="false" ht="12.75" hidden="false" customHeight="false" outlineLevel="0" collapsed="false">
      <c r="A96" s="95" t="s">
        <v>18</v>
      </c>
      <c r="B96" s="96" t="n">
        <v>440.905</v>
      </c>
      <c r="C96" s="96" t="n">
        <v>443.318</v>
      </c>
      <c r="D96" s="96" t="n">
        <v>439.3</v>
      </c>
      <c r="E96" s="96" t="n">
        <v>415.1</v>
      </c>
      <c r="F96" s="96" t="n">
        <v>353.9</v>
      </c>
      <c r="G96" s="96" t="n">
        <f aca="false">361.2+0.2</f>
        <v>361.4</v>
      </c>
      <c r="H96" s="96" t="n">
        <v>314.6</v>
      </c>
      <c r="I96" s="96" t="n">
        <v>285.4</v>
      </c>
      <c r="J96" s="96" t="n">
        <v>444.3</v>
      </c>
      <c r="K96" s="96" t="n">
        <f aca="false">Detail!W300/Detail!W1/1000</f>
        <v>425.475</v>
      </c>
      <c r="L96" s="96" t="n">
        <f aca="false">Detail!X300/Detail!X1/1000</f>
        <v>424.545</v>
      </c>
      <c r="M96" s="96" t="n">
        <f aca="false">Detail!Y300/Detail!Y1/1000</f>
        <v>428.265</v>
      </c>
      <c r="N96" s="56" t="n">
        <f aca="false">SUM(B96:M96)/12</f>
        <v>398.042333333333</v>
      </c>
      <c r="O96" s="97" t="n">
        <f aca="false">AVERAGE(B96:D96)</f>
        <v>441.174333333333</v>
      </c>
      <c r="P96" s="97" t="n">
        <f aca="false">AVERAGE(E96:G96)</f>
        <v>376.8</v>
      </c>
      <c r="Q96" s="97" t="n">
        <f aca="false">AVERAGE(H96:J96)</f>
        <v>348.1</v>
      </c>
      <c r="R96" s="97" t="n">
        <f aca="false">AVERAGE(K96:M96)</f>
        <v>426.095</v>
      </c>
      <c r="S96" s="97" t="n">
        <f aca="false">AVERAGE(B96:M96)</f>
        <v>398.042333333333</v>
      </c>
      <c r="T96" s="56" t="n">
        <v>435.12375</v>
      </c>
      <c r="U96" s="56" t="n">
        <v>435.12375</v>
      </c>
    </row>
    <row r="97" customFormat="false" ht="12.75" hidden="false" customHeight="false" outlineLevel="0" collapsed="false">
      <c r="A97" s="95" t="s">
        <v>20</v>
      </c>
      <c r="B97" s="96" t="n">
        <v>24.479</v>
      </c>
      <c r="C97" s="96"/>
      <c r="D97" s="96" t="n">
        <v>23.2</v>
      </c>
      <c r="E97" s="96" t="n">
        <v>21.4</v>
      </c>
      <c r="F97" s="96" t="n">
        <v>79.8</v>
      </c>
      <c r="G97" s="96" t="n">
        <v>122.9</v>
      </c>
      <c r="H97" s="96" t="n">
        <v>156.4</v>
      </c>
      <c r="I97" s="96" t="n">
        <v>172</v>
      </c>
      <c r="J97" s="96" t="n">
        <f aca="false">[2]2000Plan!L9</f>
        <v>0</v>
      </c>
      <c r="K97" s="96" t="n">
        <f aca="false">[2]2000Plan!M9</f>
        <v>0</v>
      </c>
      <c r="L97" s="96" t="n">
        <f aca="false">[2]2000Plan!N9</f>
        <v>0</v>
      </c>
      <c r="M97" s="96" t="n">
        <f aca="false">[2]2000Plan!O9</f>
        <v>0</v>
      </c>
      <c r="N97" s="56" t="n">
        <f aca="false">SUM(B97:M97)/12</f>
        <v>50.0149166666667</v>
      </c>
      <c r="O97" s="97" t="n">
        <f aca="false">AVERAGE(B97:D97)</f>
        <v>23.8395</v>
      </c>
      <c r="P97" s="97" t="n">
        <f aca="false">AVERAGE(E97:G97)</f>
        <v>74.7</v>
      </c>
      <c r="Q97" s="97" t="n">
        <f aca="false">AVERAGE(H97:J97)</f>
        <v>109.466666666667</v>
      </c>
      <c r="R97" s="97" t="n">
        <f aca="false">AVERAGE(K97:M97)</f>
        <v>0</v>
      </c>
      <c r="S97" s="97" t="n">
        <f aca="false">AVERAGE(B97:M97)</f>
        <v>54.5617272727273</v>
      </c>
      <c r="T97" s="56" t="n">
        <v>0</v>
      </c>
      <c r="U97" s="56" t="n">
        <v>0</v>
      </c>
    </row>
    <row r="98" customFormat="false" ht="12.75" hidden="false" customHeight="false" outlineLevel="0" collapsed="false">
      <c r="A98" s="126" t="s">
        <v>22</v>
      </c>
      <c r="B98" s="96"/>
      <c r="C98" s="96" t="n">
        <v>23.946</v>
      </c>
      <c r="D98" s="96" t="n">
        <v>0.4</v>
      </c>
      <c r="E98" s="96" t="n">
        <v>3.5</v>
      </c>
      <c r="F98" s="96" t="n">
        <v>3.2</v>
      </c>
      <c r="G98" s="96" t="n">
        <v>-4.3</v>
      </c>
      <c r="H98" s="96" t="n">
        <f aca="false">[2]2000Plan!J10</f>
        <v>0</v>
      </c>
      <c r="I98" s="96" t="n">
        <v>0</v>
      </c>
      <c r="J98" s="96" t="n">
        <f aca="false">[2]2000Plan!L10</f>
        <v>0</v>
      </c>
      <c r="K98" s="96" t="n">
        <f aca="false">[2]2000Plan!M10</f>
        <v>0</v>
      </c>
      <c r="L98" s="96" t="n">
        <f aca="false">[2]2000Plan!N10</f>
        <v>0</v>
      </c>
      <c r="M98" s="96" t="n">
        <f aca="false">[2]2000Plan!O10</f>
        <v>0</v>
      </c>
      <c r="N98" s="100" t="n">
        <f aca="false">SUM(B98:M98)/12</f>
        <v>2.22883333333333</v>
      </c>
      <c r="O98" s="97" t="n">
        <f aca="false">AVERAGE(B98:D98)</f>
        <v>12.173</v>
      </c>
      <c r="P98" s="97" t="n">
        <f aca="false">AVERAGE(E98:G98)</f>
        <v>0.8</v>
      </c>
      <c r="Q98" s="97" t="n">
        <f aca="false">AVERAGE(H98:J98)</f>
        <v>0</v>
      </c>
      <c r="R98" s="97" t="n">
        <f aca="false">AVERAGE(K98:M98)</f>
        <v>0</v>
      </c>
      <c r="S98" s="97" t="n">
        <f aca="false">AVERAGE(B98:M98)</f>
        <v>2.43145454545455</v>
      </c>
      <c r="T98" s="100" t="n">
        <v>0</v>
      </c>
      <c r="U98" s="100" t="n">
        <v>0</v>
      </c>
    </row>
    <row r="99" customFormat="false" ht="12.75" hidden="false" customHeight="false" outlineLevel="0" collapsed="false">
      <c r="A99" s="127" t="s">
        <v>126</v>
      </c>
      <c r="B99" s="100" t="n">
        <f aca="false">SUM(B96:B98)</f>
        <v>465.384</v>
      </c>
      <c r="C99" s="100" t="n">
        <f aca="false">SUM(C96:C98)</f>
        <v>467.264</v>
      </c>
      <c r="D99" s="100" t="n">
        <f aca="false">SUM(D96:D98)</f>
        <v>462.9</v>
      </c>
      <c r="E99" s="100" t="n">
        <f aca="false">SUM(E96:E98)</f>
        <v>440</v>
      </c>
      <c r="F99" s="100" t="n">
        <f aca="false">SUM(F96:F98)</f>
        <v>436.9</v>
      </c>
      <c r="G99" s="100" t="n">
        <f aca="false">SUM(G96:G98)</f>
        <v>480</v>
      </c>
      <c r="H99" s="100" t="n">
        <f aca="false">SUM(H96:H98)</f>
        <v>471</v>
      </c>
      <c r="I99" s="100" t="n">
        <f aca="false">SUM(I96:I98)</f>
        <v>457.4</v>
      </c>
      <c r="J99" s="100" t="n">
        <f aca="false">SUM(J96:J98)</f>
        <v>444.3</v>
      </c>
      <c r="K99" s="100" t="n">
        <f aca="false">SUM(K96:K98)</f>
        <v>425.475</v>
      </c>
      <c r="L99" s="100" t="n">
        <f aca="false">SUM(L96:L98)</f>
        <v>424.545</v>
      </c>
      <c r="M99" s="100" t="n">
        <f aca="false">SUM(M96:M98)</f>
        <v>428.265</v>
      </c>
      <c r="N99" s="117" t="n">
        <f aca="false">SUM(N96:N98)</f>
        <v>450.286083333333</v>
      </c>
      <c r="O99" s="117" t="n">
        <f aca="false">SUM(O96:O98)</f>
        <v>477.186833333333</v>
      </c>
      <c r="P99" s="117" t="n">
        <f aca="false">SUM(P96:P98)</f>
        <v>452.3</v>
      </c>
      <c r="Q99" s="117" t="n">
        <f aca="false">SUM(Q96:Q98)</f>
        <v>457.566666666667</v>
      </c>
      <c r="R99" s="117" t="n">
        <f aca="false">SUM(R96:R98)</f>
        <v>426.095</v>
      </c>
      <c r="S99" s="117" t="n">
        <f aca="false">SUM(S96:S98)</f>
        <v>455.035515151515</v>
      </c>
      <c r="T99" s="117" t="n">
        <f aca="false">SUM(T96:T98)</f>
        <v>435.12375</v>
      </c>
      <c r="U99" s="117" t="n">
        <f aca="false">SUM(U96:U98)</f>
        <v>435.12375</v>
      </c>
    </row>
    <row r="100" customFormat="false" ht="12.75" hidden="false" customHeight="false" outlineLevel="0" collapsed="false">
      <c r="A100" s="110" t="s">
        <v>127</v>
      </c>
      <c r="B100" s="100" t="n">
        <f aca="false">+B95</f>
        <v>465</v>
      </c>
      <c r="C100" s="100" t="n">
        <f aca="false">+C95</f>
        <v>465</v>
      </c>
      <c r="D100" s="100" t="n">
        <f aca="false">+D95</f>
        <v>465</v>
      </c>
      <c r="E100" s="100" t="n">
        <f aca="false">+E95</f>
        <v>465</v>
      </c>
      <c r="F100" s="100" t="n">
        <f aca="false">+F95</f>
        <v>465</v>
      </c>
      <c r="G100" s="100" t="n">
        <f aca="false">+G95</f>
        <v>465</v>
      </c>
      <c r="H100" s="100" t="n">
        <f aca="false">+H95</f>
        <v>440</v>
      </c>
      <c r="I100" s="100" t="n">
        <f aca="false">+I95</f>
        <v>464.2</v>
      </c>
      <c r="J100" s="100" t="n">
        <f aca="false">+J95</f>
        <v>465</v>
      </c>
      <c r="K100" s="100" t="n">
        <f aca="false">+K95</f>
        <v>465</v>
      </c>
      <c r="L100" s="100" t="n">
        <f aca="false">+L95</f>
        <v>465</v>
      </c>
      <c r="M100" s="100" t="n">
        <f aca="false">+M95</f>
        <v>465</v>
      </c>
      <c r="N100" s="117" t="n">
        <f aca="false">+N95</f>
        <v>462.85</v>
      </c>
      <c r="O100" s="117" t="n">
        <f aca="false">+O95</f>
        <v>465</v>
      </c>
      <c r="P100" s="117" t="n">
        <f aca="false">+P95</f>
        <v>465</v>
      </c>
      <c r="Q100" s="117" t="n">
        <f aca="false">+Q95</f>
        <v>456.4</v>
      </c>
      <c r="R100" s="117" t="n">
        <f aca="false">+R95</f>
        <v>465</v>
      </c>
      <c r="S100" s="117" t="n">
        <f aca="false">+S95</f>
        <v>462.85</v>
      </c>
      <c r="T100" s="117" t="n">
        <f aca="false">+T95</f>
        <v>465</v>
      </c>
      <c r="U100" s="117" t="n">
        <f aca="false">+U95</f>
        <v>465</v>
      </c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  <c r="IU100" s="55"/>
      <c r="IV100" s="55"/>
      <c r="IW100" s="55"/>
    </row>
    <row r="101" customFormat="false" ht="12.75" hidden="false" customHeight="false" outlineLevel="0" collapsed="false">
      <c r="A101" s="110" t="s">
        <v>128</v>
      </c>
      <c r="B101" s="100" t="n">
        <f aca="false">+B95+B68+B35+B61+B28</f>
        <v>858.6</v>
      </c>
      <c r="C101" s="100" t="n">
        <f aca="false">+C95+C68+C35+C61+C28</f>
        <v>858.6</v>
      </c>
      <c r="D101" s="100" t="n">
        <f aca="false">+D95+D68+D35+D61+D28</f>
        <v>857.6</v>
      </c>
      <c r="E101" s="100" t="n">
        <f aca="false">+E95+E68+E35+E61+E28</f>
        <v>848.6</v>
      </c>
      <c r="F101" s="100" t="n">
        <f aca="false">+F95+F68+F35+F61+F28</f>
        <v>845.2</v>
      </c>
      <c r="G101" s="100" t="n">
        <f aca="false">+G95+G68+G35+G61+G28</f>
        <v>848.6</v>
      </c>
      <c r="H101" s="100" t="n">
        <f aca="false">+H95+H68+H35+H61+H28</f>
        <v>813.9</v>
      </c>
      <c r="I101" s="100" t="n">
        <f aca="false">+I95+I68+I35+I61+I28</f>
        <v>847.5</v>
      </c>
      <c r="J101" s="100" t="n">
        <f aca="false">+J95+J68+J35+J61+J28</f>
        <v>848.6</v>
      </c>
      <c r="K101" s="100" t="n">
        <f aca="false">+K95+K68+K35+K61+K28</f>
        <v>848.6</v>
      </c>
      <c r="L101" s="100" t="n">
        <f aca="false">+L95+L68+L35+L61+L28</f>
        <v>863.6</v>
      </c>
      <c r="M101" s="100" t="n">
        <f aca="false">+M95+M68+M35+M61+M28</f>
        <v>857.1</v>
      </c>
      <c r="N101" s="117" t="n">
        <f aca="false">SUM(B101:M101)/12</f>
        <v>849.708333333333</v>
      </c>
      <c r="O101" s="97" t="n">
        <f aca="false">AVERAGE(B101:D101)</f>
        <v>858.266666666667</v>
      </c>
      <c r="P101" s="97" t="n">
        <f aca="false">AVERAGE(C101:E101)</f>
        <v>854.933333333333</v>
      </c>
      <c r="Q101" s="97" t="n">
        <f aca="false">AVERAGE(D101:F101)</f>
        <v>850.466666666667</v>
      </c>
      <c r="R101" s="97" t="n">
        <f aca="false">AVERAGE(E101:G101)</f>
        <v>847.466666666667</v>
      </c>
      <c r="S101" s="117" t="n">
        <f aca="false">SUM(B101:M101)/12</f>
        <v>849.708333333333</v>
      </c>
      <c r="T101" s="100" t="n">
        <f aca="false">+T95+T68+T35+T61+T28</f>
        <v>971.933333333333</v>
      </c>
      <c r="U101" s="100" t="n">
        <f aca="false">+U95+U68+U35+U61+U28</f>
        <v>1346.93333333333</v>
      </c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  <c r="IU101" s="55"/>
      <c r="IV101" s="55"/>
      <c r="IW101" s="55"/>
    </row>
    <row r="102" customFormat="false" ht="12.75" hidden="false" customHeight="false" outlineLevel="0" collapsed="false">
      <c r="A102" s="92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56"/>
      <c r="O102" s="56"/>
      <c r="P102" s="97"/>
      <c r="Q102" s="97"/>
      <c r="R102" s="97"/>
      <c r="S102" s="97"/>
      <c r="T102" s="56"/>
      <c r="U102" s="56"/>
    </row>
    <row r="103" customFormat="false" ht="15.75" hidden="false" customHeight="false" outlineLevel="0" collapsed="false">
      <c r="A103" s="128" t="s">
        <v>62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30"/>
      <c r="O103" s="105"/>
      <c r="P103" s="93"/>
      <c r="Q103" s="93"/>
      <c r="R103" s="93"/>
      <c r="S103" s="93"/>
      <c r="T103" s="130"/>
      <c r="U103" s="130"/>
    </row>
    <row r="104" customFormat="false" ht="12.75" hidden="false" customHeight="false" outlineLevel="0" collapsed="false">
      <c r="A104" s="131" t="s">
        <v>14</v>
      </c>
      <c r="B104" s="132" t="n">
        <f aca="false">+B42+B74+B91+B100</f>
        <v>2884.469</v>
      </c>
      <c r="C104" s="132" t="n">
        <f aca="false">+C42+C74+C91+C100</f>
        <v>2910.517</v>
      </c>
      <c r="D104" s="132" t="n">
        <f aca="false">+D42+D74+D91+D100</f>
        <v>3049.6</v>
      </c>
      <c r="E104" s="132" t="n">
        <f aca="false">+E42+E74+E91+E100</f>
        <v>2938.6</v>
      </c>
      <c r="F104" s="132" t="n">
        <f aca="false">+F42+F74+F91+F100</f>
        <v>2917.5</v>
      </c>
      <c r="G104" s="132" t="n">
        <f aca="false">+G42+G74+G91+G100</f>
        <v>2919.1</v>
      </c>
      <c r="H104" s="132" t="n">
        <f aca="false">+H42+H74+H91+H100</f>
        <v>2889.1</v>
      </c>
      <c r="I104" s="132" t="n">
        <f aca="false">+I42+I74+I91+I100</f>
        <v>2911.5</v>
      </c>
      <c r="J104" s="132" t="n">
        <f aca="false">+J42+J74+J91+J100</f>
        <v>2925.2</v>
      </c>
      <c r="K104" s="132" t="n">
        <f aca="false">+K42+K74+K91+K100</f>
        <v>2837.6</v>
      </c>
      <c r="L104" s="132" t="n">
        <f aca="false">+L42+L74+L91+L100</f>
        <v>2917.6</v>
      </c>
      <c r="M104" s="132" t="n">
        <f aca="false">+M42+M74+M91+M100</f>
        <v>2930.814</v>
      </c>
      <c r="N104" s="105" t="n">
        <f aca="false">SUM(B104:M104)/12</f>
        <v>2919.3</v>
      </c>
      <c r="O104" s="97" t="n">
        <f aca="false">AVERAGE(B104:D104)</f>
        <v>2948.19533333333</v>
      </c>
      <c r="P104" s="97" t="n">
        <f aca="false">AVERAGE(E104:G104)</f>
        <v>2925.06666666667</v>
      </c>
      <c r="Q104" s="97" t="n">
        <f aca="false">AVERAGE(H104:J104)</f>
        <v>2908.6</v>
      </c>
      <c r="R104" s="97" t="n">
        <f aca="false">AVERAGE(K104:M104)</f>
        <v>2895.338</v>
      </c>
      <c r="S104" s="97" t="n">
        <f aca="false">AVERAGE(B104:M104)</f>
        <v>2919.3</v>
      </c>
      <c r="T104" s="133" t="n">
        <f aca="false">T95+T85+T78+T68+T61+T53+T46+T35+T28+T21+T14</f>
        <v>2963.72133333333</v>
      </c>
      <c r="U104" s="133" t="n">
        <f aca="false">U95+U85+U78+U68+U61+U53+U46+U35+U28+U21+U14</f>
        <v>3413.72133333333</v>
      </c>
    </row>
    <row r="105" customFormat="false" ht="12.75" hidden="false" customHeight="false" outlineLevel="0" collapsed="false">
      <c r="A105" s="131" t="s">
        <v>18</v>
      </c>
      <c r="B105" s="132" t="n">
        <f aca="false">+B15+B22+B29+B36+B47+B54+B62+B69+B79+B86+B96</f>
        <v>2260.502</v>
      </c>
      <c r="C105" s="132" t="n">
        <f aca="false">+C15+C22+C29+C36+C47+C54+C62+C69+C79+C86+C96</f>
        <v>2309.803</v>
      </c>
      <c r="D105" s="132" t="n">
        <f aca="false">+D15+D22+D29+D36+D47+D54+D62+D69+D79+D86+D96</f>
        <v>2312.1</v>
      </c>
      <c r="E105" s="132" t="n">
        <f aca="false">+E15+E22+E29+E36+E47+E54+E62+E69+E79+E86+E96</f>
        <v>2249.1</v>
      </c>
      <c r="F105" s="132" t="n">
        <f aca="false">+F15+F22+F29+F36+F47+F54+F62+F69+F79+F86+F96</f>
        <v>2135.8</v>
      </c>
      <c r="G105" s="132" t="n">
        <f aca="false">+G15+G22+G29+G36+G47+G54+G62+G69+G79+G86+G96</f>
        <v>2171.5</v>
      </c>
      <c r="H105" s="132" t="n">
        <f aca="false">+H15+H22+H29+H36+H47+H54+H62+H69+H79+H86+H96</f>
        <v>2158</v>
      </c>
      <c r="I105" s="132" t="n">
        <f aca="false">+I15+I22+I29+I36+I47+I54+I62+I69+I79+I86+I96</f>
        <v>2166.4</v>
      </c>
      <c r="J105" s="132" t="n">
        <f aca="false">+J15+J22+J29+J36+J47+J54+J62+J69+J79+J86+J96</f>
        <v>2339.5</v>
      </c>
      <c r="K105" s="132" t="n">
        <f aca="false">+K15+K22+K29+K36+K47+K54+K62+K69+K79+K86+K96</f>
        <v>2194.58530645161</v>
      </c>
      <c r="L105" s="132" t="n">
        <f aca="false">+L15+L22+L29+L36+L47+L54+L62+L69+L79+L86+L96</f>
        <v>2275.32483333333</v>
      </c>
      <c r="M105" s="132" t="n">
        <f aca="false">+M15+M22+M29+M36+M47+M54+M62+M69+M79+M86+M96</f>
        <v>2284.059102</v>
      </c>
      <c r="N105" s="105" t="n">
        <f aca="false">SUM(B105:M105)/12</f>
        <v>2238.05618681541</v>
      </c>
      <c r="O105" s="97" t="n">
        <f aca="false">AVERAGE(B105:D105)</f>
        <v>2294.135</v>
      </c>
      <c r="P105" s="97" t="n">
        <f aca="false">AVERAGE(E105:G105)</f>
        <v>2185.46666666667</v>
      </c>
      <c r="Q105" s="97" t="n">
        <f aca="false">AVERAGE(H105:J105)</f>
        <v>2221.3</v>
      </c>
      <c r="R105" s="97" t="n">
        <f aca="false">AVERAGE(K105:M105)</f>
        <v>2251.32308059498</v>
      </c>
      <c r="S105" s="97" t="n">
        <f aca="false">AVERAGE(B105:M105)</f>
        <v>2238.05618681541</v>
      </c>
      <c r="T105" s="133" t="n">
        <f aca="false">T96+T86+T79+T69+T62+T54+T47+T36+T29+T22+T15</f>
        <v>2381.83755416667</v>
      </c>
      <c r="U105" s="133" t="n">
        <f aca="false">U96+U86+U79+U69+U62+U54+U47+U36+U29+U22+U15</f>
        <v>2739.53055416667</v>
      </c>
    </row>
    <row r="106" customFormat="false" ht="12.75" hidden="false" customHeight="false" outlineLevel="0" collapsed="false">
      <c r="A106" s="131" t="s">
        <v>20</v>
      </c>
      <c r="B106" s="132" t="n">
        <f aca="false">+B16+B23+B30+B37+B48+B55+B63+B70+B80+B87+B97</f>
        <v>65.318</v>
      </c>
      <c r="C106" s="132" t="n">
        <f aca="false">+C16+C23+C30+C37+C48+C55+C63+C70+C80+C87+C97</f>
        <v>38.71</v>
      </c>
      <c r="D106" s="132" t="n">
        <f aca="false">+D16+D23+D30+D37+D48+D55+D63+D70+D80+D87+D97</f>
        <v>44.5</v>
      </c>
      <c r="E106" s="132" t="n">
        <f aca="false">+E16+E23+E30+E37+E48+E55+E63+E70+E80+E87+E97</f>
        <v>37.5</v>
      </c>
      <c r="F106" s="132" t="n">
        <f aca="false">+F16+F23+F30+F37+F48+F55+F63+F70+F80+F87+F97</f>
        <v>144.9</v>
      </c>
      <c r="G106" s="132" t="n">
        <f aca="false">+G16+G23+G30+G37+G48+G55+G63+G70+G80+G87+G97</f>
        <v>229.8</v>
      </c>
      <c r="H106" s="132" t="n">
        <f aca="false">+H16+H23+H30+H37+H48+H55+H63+H70+H80+H87+H97</f>
        <v>309.4</v>
      </c>
      <c r="I106" s="132" t="n">
        <f aca="false">+I16+I23+I30+I37+I48+I55+I63+I70+I80+I87+I97</f>
        <v>340.6</v>
      </c>
      <c r="J106" s="132" t="n">
        <f aca="false">+J16+J23+J30+J37+J48+J55+J63+J70+J80+J87+J97</f>
        <v>0</v>
      </c>
      <c r="K106" s="132" t="n">
        <f aca="false">+K16+K23+K30+K37+K48+K55+K63+K70+K80+K87+K97</f>
        <v>0</v>
      </c>
      <c r="L106" s="132" t="n">
        <f aca="false">+L16+L23+L30+L37+L48+L55+L63+L70+L80+L87+L97</f>
        <v>0</v>
      </c>
      <c r="M106" s="132" t="n">
        <f aca="false">+M16+M23+M30+M37+M48+M55+M63+M70+M80+M87+M97</f>
        <v>0</v>
      </c>
      <c r="N106" s="105" t="n">
        <f aca="false">SUM(B106:M106)/12</f>
        <v>100.894</v>
      </c>
      <c r="O106" s="97" t="n">
        <f aca="false">AVERAGE(B106:D106)</f>
        <v>49.5093333333333</v>
      </c>
      <c r="P106" s="97" t="n">
        <f aca="false">AVERAGE(E106:G106)</f>
        <v>137.4</v>
      </c>
      <c r="Q106" s="97" t="n">
        <f aca="false">AVERAGE(H106:J106)</f>
        <v>216.666666666667</v>
      </c>
      <c r="R106" s="97" t="n">
        <f aca="false">AVERAGE(K106:M106)</f>
        <v>0</v>
      </c>
      <c r="S106" s="97" t="n">
        <f aca="false">AVERAGE(B106:M106)</f>
        <v>100.894</v>
      </c>
      <c r="T106" s="133" t="n">
        <f aca="false">T97+T87+T80+T70+T63+T55+T48+T37+T30+T23+T16</f>
        <v>0</v>
      </c>
      <c r="U106" s="133" t="n">
        <f aca="false">U97+U87+U80+U70+U63+U55+U48+U37+U30+U23+U16</f>
        <v>0</v>
      </c>
    </row>
    <row r="107" customFormat="false" ht="12.75" hidden="false" customHeight="false" outlineLevel="0" collapsed="false">
      <c r="A107" s="134" t="s">
        <v>22</v>
      </c>
      <c r="B107" s="99" t="n">
        <f aca="false">+B17+B24+B31+B39+B49+B57+B64+B71+B81+B88+B98</f>
        <v>222.107</v>
      </c>
      <c r="C107" s="99" t="n">
        <f aca="false">+C17+C24+C31+C39+C49+C57+C64+C71+C81+C88+C98</f>
        <v>190.035</v>
      </c>
      <c r="D107" s="99" t="n">
        <f aca="false">+D17+D24+D31+D39+D49+D57+D64+D71+D81+D88+D98</f>
        <v>120.2</v>
      </c>
      <c r="E107" s="99" t="n">
        <f aca="false">+E17+E24+E31+E39+E49+E57+E64+E71+E81+E88+E98</f>
        <v>360.94</v>
      </c>
      <c r="F107" s="99" t="n">
        <f aca="false">+F17+F24+F31+F39+F49+F57+F64+F71+F81+F88+F98</f>
        <v>338.1</v>
      </c>
      <c r="G107" s="99" t="n">
        <f aca="false">+G17+G24+G31+G39+G49+G57+G64+G71+G81+G88+G98</f>
        <v>223.2</v>
      </c>
      <c r="H107" s="99" t="n">
        <f aca="false">+H17+H24+H31+H39+H49+H57+H64+H71+H81+H88+H98</f>
        <v>186.5</v>
      </c>
      <c r="I107" s="99" t="n">
        <f aca="false">+I17+I24+I31+I39+I49+I57+I64+I71+I81+I88+I98</f>
        <v>140.4</v>
      </c>
      <c r="J107" s="99" t="n">
        <f aca="false">+J17+J24+J31+J39+J49+J57+J64+J71+J81+J88+J98</f>
        <v>119.8</v>
      </c>
      <c r="K107" s="99" t="n">
        <f aca="false">+K17+K24+K31+K39+K49+K57+K64+K71+K81+K88+K98</f>
        <v>122.6</v>
      </c>
      <c r="L107" s="99" t="n">
        <f aca="false">+L17+L24+L31+L39+L49+L57+L64+L71+L81+L88+L98</f>
        <v>124.8</v>
      </c>
      <c r="M107" s="99" t="n">
        <f aca="false">+M17+M24+M31+M39+M49+M57+M64+M71+M81+M88+M98</f>
        <v>226.7</v>
      </c>
      <c r="N107" s="117" t="n">
        <f aca="false">SUM(B107:M107)/12</f>
        <v>197.9485</v>
      </c>
      <c r="O107" s="97" t="n">
        <f aca="false">AVERAGE(B107:D107)</f>
        <v>177.447333333333</v>
      </c>
      <c r="P107" s="97" t="n">
        <f aca="false">AVERAGE(E107:G107)</f>
        <v>307.413333333333</v>
      </c>
      <c r="Q107" s="97" t="n">
        <f aca="false">AVERAGE(H107:J107)</f>
        <v>148.9</v>
      </c>
      <c r="R107" s="97" t="n">
        <f aca="false">AVERAGE(K107:M107)</f>
        <v>158.033333333333</v>
      </c>
      <c r="S107" s="97" t="n">
        <f aca="false">AVERAGE(B107:M107)</f>
        <v>197.9485</v>
      </c>
      <c r="T107" s="133" t="n">
        <f aca="false">T98+T88+T81+T71+T64+T57+T49+T39+T31+T24+T17</f>
        <v>152.55</v>
      </c>
      <c r="U107" s="133" t="n">
        <f aca="false">U98+U88+U81+U71+U64+U57+U49+U39+U31+U24+U17</f>
        <v>152.55</v>
      </c>
    </row>
    <row r="108" customFormat="false" ht="12.75" hidden="false" customHeight="false" outlineLevel="0" collapsed="false">
      <c r="A108" s="127" t="s">
        <v>66</v>
      </c>
      <c r="B108" s="100" t="n">
        <f aca="false">SUM(B105:B107)</f>
        <v>2547.927</v>
      </c>
      <c r="C108" s="100" t="n">
        <f aca="false">SUM(C105:C107)</f>
        <v>2538.548</v>
      </c>
      <c r="D108" s="100" t="n">
        <f aca="false">SUM(D105:D107)</f>
        <v>2476.8</v>
      </c>
      <c r="E108" s="100" t="n">
        <f aca="false">SUM(E105:E107)</f>
        <v>2647.54</v>
      </c>
      <c r="F108" s="100" t="n">
        <f aca="false">SUM(F105:F107)</f>
        <v>2618.8</v>
      </c>
      <c r="G108" s="100" t="n">
        <f aca="false">SUM(G105:G107)</f>
        <v>2624.5</v>
      </c>
      <c r="H108" s="100" t="n">
        <f aca="false">SUM(H105:H107)</f>
        <v>2653.9</v>
      </c>
      <c r="I108" s="100" t="n">
        <f aca="false">SUM(I105:I107)</f>
        <v>2647.4</v>
      </c>
      <c r="J108" s="100" t="n">
        <f aca="false">SUM(J105:J107)</f>
        <v>2459.3</v>
      </c>
      <c r="K108" s="100" t="n">
        <f aca="false">SUM(K105:K107)</f>
        <v>2317.18530645161</v>
      </c>
      <c r="L108" s="100" t="n">
        <f aca="false">SUM(L105:L107)</f>
        <v>2400.12483333333</v>
      </c>
      <c r="M108" s="100" t="n">
        <f aca="false">SUM(M105:M107)</f>
        <v>2510.759102</v>
      </c>
      <c r="N108" s="117" t="n">
        <f aca="false">SUM(N105:N107)</f>
        <v>2536.89868681541</v>
      </c>
      <c r="O108" s="117" t="n">
        <f aca="false">SUM(O105:O107)</f>
        <v>2521.09166666667</v>
      </c>
      <c r="P108" s="117" t="n">
        <f aca="false">SUM(P105:P107)</f>
        <v>2630.28</v>
      </c>
      <c r="Q108" s="117" t="n">
        <f aca="false">SUM(Q105:Q107)</f>
        <v>2586.86666666667</v>
      </c>
      <c r="R108" s="117" t="n">
        <f aca="false">SUM(R105:R107)</f>
        <v>2409.35641392832</v>
      </c>
      <c r="S108" s="117" t="n">
        <f aca="false">SUM(S105:S107)</f>
        <v>2536.89868681541</v>
      </c>
      <c r="T108" s="117" t="n">
        <f aca="false">SUM(T105:T107)</f>
        <v>2534.38755416667</v>
      </c>
      <c r="U108" s="117" t="n">
        <f aca="false">SUM(U105:U107)</f>
        <v>2892.08055416667</v>
      </c>
    </row>
    <row r="109" customFormat="false" ht="12.75" hidden="false" customHeight="false" outlineLevel="0" collapsed="false">
      <c r="A109" s="110" t="s">
        <v>65</v>
      </c>
      <c r="B109" s="100" t="n">
        <f aca="false">+B104</f>
        <v>2884.469</v>
      </c>
      <c r="C109" s="100" t="n">
        <f aca="false">+C104</f>
        <v>2910.517</v>
      </c>
      <c r="D109" s="100" t="n">
        <f aca="false">+D104</f>
        <v>3049.6</v>
      </c>
      <c r="E109" s="100" t="n">
        <f aca="false">+E104</f>
        <v>2938.6</v>
      </c>
      <c r="F109" s="100" t="n">
        <f aca="false">+F104</f>
        <v>2917.5</v>
      </c>
      <c r="G109" s="100" t="n">
        <f aca="false">+G104</f>
        <v>2919.1</v>
      </c>
      <c r="H109" s="100" t="n">
        <f aca="false">+H104</f>
        <v>2889.1</v>
      </c>
      <c r="I109" s="100" t="n">
        <f aca="false">+I104</f>
        <v>2911.5</v>
      </c>
      <c r="J109" s="100" t="n">
        <f aca="false">+J104</f>
        <v>2925.2</v>
      </c>
      <c r="K109" s="100" t="n">
        <f aca="false">+K104</f>
        <v>2837.6</v>
      </c>
      <c r="L109" s="100" t="n">
        <f aca="false">+L104</f>
        <v>2917.6</v>
      </c>
      <c r="M109" s="100" t="n">
        <f aca="false">+M104</f>
        <v>2930.814</v>
      </c>
      <c r="N109" s="117" t="n">
        <f aca="false">+N104</f>
        <v>2919.3</v>
      </c>
      <c r="O109" s="117" t="n">
        <f aca="false">+O104</f>
        <v>2948.19533333333</v>
      </c>
      <c r="P109" s="117" t="n">
        <f aca="false">+P104</f>
        <v>2925.06666666667</v>
      </c>
      <c r="Q109" s="117" t="n">
        <f aca="false">+Q104</f>
        <v>2908.6</v>
      </c>
      <c r="R109" s="117" t="n">
        <f aca="false">+R104</f>
        <v>2895.338</v>
      </c>
      <c r="S109" s="117" t="n">
        <f aca="false">+S104</f>
        <v>2919.3</v>
      </c>
      <c r="T109" s="117" t="n">
        <f aca="false">+T104</f>
        <v>2963.72133333333</v>
      </c>
      <c r="U109" s="117" t="n">
        <f aca="false">+U104</f>
        <v>3413.72133333333</v>
      </c>
    </row>
    <row r="110" customFormat="false" ht="12.75" hidden="false" customHeight="false" outlineLevel="0" collapsed="false">
      <c r="A110" s="110" t="s">
        <v>129</v>
      </c>
      <c r="B110" s="100" t="n">
        <f aca="false">B41+B73+B89</f>
        <v>1785.838</v>
      </c>
      <c r="C110" s="100" t="n">
        <f aca="false">C41+C73+C89</f>
        <v>1780.898</v>
      </c>
      <c r="D110" s="100" t="n">
        <f aca="false">D41+D73+D89</f>
        <v>1769.9</v>
      </c>
      <c r="E110" s="100" t="n">
        <f aca="false">E41+E73+E89</f>
        <v>2019.247</v>
      </c>
      <c r="F110" s="100" t="n">
        <f aca="false">F41+F73+F89</f>
        <v>1969.9</v>
      </c>
      <c r="G110" s="100" t="n">
        <f aca="false">G41+G73+G89</f>
        <v>1930.4</v>
      </c>
      <c r="H110" s="100" t="n">
        <f aca="false">H41+H73+H89</f>
        <v>1831.8</v>
      </c>
      <c r="I110" s="100" t="n">
        <f aca="false">I41+I73+I89</f>
        <v>1843.1</v>
      </c>
      <c r="J110" s="100" t="n">
        <f aca="false">J41+J73+J89</f>
        <v>1779.9</v>
      </c>
      <c r="K110" s="100" t="n">
        <f aca="false">K41+K73+K89</f>
        <v>1619.64630645161</v>
      </c>
      <c r="L110" s="100" t="n">
        <f aca="false">L41+L73+L89</f>
        <v>1708.72183333333</v>
      </c>
      <c r="M110" s="100" t="n">
        <f aca="false">M41+M73+M89</f>
        <v>1889.132102</v>
      </c>
      <c r="N110" s="117" t="n">
        <f aca="false">N41+N73+N89</f>
        <v>1827.37360348208</v>
      </c>
      <c r="O110" s="117" t="n">
        <f aca="false">O41+O73+O89</f>
        <v>1793.15983333333</v>
      </c>
      <c r="P110" s="117" t="n">
        <f aca="false">P41+P73+P89</f>
        <v>1973.18233333333</v>
      </c>
      <c r="Q110" s="117" t="n">
        <f aca="false">Q41+Q73+Q89</f>
        <v>1818.26666666667</v>
      </c>
      <c r="R110" s="117" t="n">
        <f aca="false">R41+R73+R89</f>
        <v>1739.16674726165</v>
      </c>
      <c r="S110" s="117" t="n">
        <f aca="false">S41+S73+S89</f>
        <v>1827.51627014875</v>
      </c>
      <c r="T110" s="117" t="n">
        <f aca="false">T41+T73+T89</f>
        <v>1857.6171375</v>
      </c>
      <c r="U110" s="117" t="n">
        <f aca="false">U41+U73+U89</f>
        <v>2215.3101375</v>
      </c>
    </row>
    <row r="111" customFormat="false" ht="12.75" hidden="false" customHeight="false" outlineLevel="0" collapsed="false">
      <c r="A111" s="113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20"/>
      <c r="Q111" s="120"/>
      <c r="R111" s="120"/>
      <c r="S111" s="120"/>
      <c r="T111" s="105"/>
      <c r="U111" s="105"/>
    </row>
    <row r="112" customFormat="false" ht="12.75" hidden="false" customHeight="false" outlineLevel="0" collapsed="false">
      <c r="A112" s="81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56"/>
      <c r="O112" s="56"/>
      <c r="P112" s="97"/>
      <c r="Q112" s="97"/>
      <c r="R112" s="97"/>
      <c r="S112" s="97"/>
      <c r="T112" s="56"/>
      <c r="U112" s="56"/>
    </row>
    <row r="113" customFormat="false" ht="12.75" hidden="false" customHeight="false" outlineLevel="0" collapsed="false">
      <c r="A113" s="92" t="s">
        <v>130</v>
      </c>
      <c r="B113" s="118" t="n">
        <f aca="false">B377/B1</f>
        <v>62.8980000000001</v>
      </c>
      <c r="C113" s="118" t="n">
        <f aca="false">C377/C1</f>
        <v>63.1519999999999</v>
      </c>
      <c r="D113" s="118" t="n">
        <f aca="false">D377/D1</f>
        <v>62.7999999999999</v>
      </c>
      <c r="E113" s="118" t="n">
        <f aca="false">E377/E1</f>
        <v>64.5530000000001</v>
      </c>
      <c r="F113" s="118" t="n">
        <f aca="false">F377/F1</f>
        <v>62.8</v>
      </c>
      <c r="G113" s="118" t="n">
        <f aca="false">G377/G1</f>
        <v>62.5</v>
      </c>
      <c r="H113" s="118" t="n">
        <f aca="false">H377/H1</f>
        <v>63.6999999999999</v>
      </c>
      <c r="I113" s="118" t="n">
        <f aca="false">I377/I1</f>
        <v>64.3</v>
      </c>
      <c r="J113" s="118" t="n">
        <f aca="false">J377/J1</f>
        <v>59.1000000000002</v>
      </c>
      <c r="K113" s="118" t="n">
        <f aca="false">K377/K1</f>
        <v>57.814693548387</v>
      </c>
      <c r="L113" s="118" t="n">
        <f aca="false">L377/L1</f>
        <v>58.7751666666665</v>
      </c>
      <c r="M113" s="118" t="n">
        <f aca="false">M377/M1</f>
        <v>59.3408980000001</v>
      </c>
      <c r="N113" s="56" t="n">
        <f aca="false">N377/N1</f>
        <v>61.8064721589041</v>
      </c>
      <c r="O113" s="135" t="n">
        <f aca="false">SUM(D113:F113)</f>
        <v>190.153</v>
      </c>
      <c r="P113" s="135" t="n">
        <f aca="false">SUM(E113:G113)</f>
        <v>189.853</v>
      </c>
      <c r="Q113" s="135" t="n">
        <f aca="false">SUM(F113:H113)</f>
        <v>189</v>
      </c>
      <c r="R113" s="135" t="n">
        <f aca="false">SUM(G113:I113)</f>
        <v>190.5</v>
      </c>
      <c r="S113" s="97" t="e">
        <f aca="false">S377/S1</f>
        <v>#REF!</v>
      </c>
      <c r="T113" s="56"/>
      <c r="U113" s="56"/>
    </row>
    <row r="114" customFormat="false" ht="12.75" hidden="false" customHeight="false" outlineLevel="0" collapsed="false">
      <c r="A114" s="92" t="s">
        <v>131</v>
      </c>
      <c r="B114" s="118" t="n">
        <f aca="false">B378/B1</f>
        <v>-32.1290322580645</v>
      </c>
      <c r="C114" s="118" t="n">
        <f aca="false">C378/C1</f>
        <v>-32.0714285714286</v>
      </c>
      <c r="D114" s="118" t="n">
        <f aca="false">D378/D1</f>
        <v>-31.8709677419355</v>
      </c>
      <c r="E114" s="118" t="n">
        <f aca="false">E378/E1</f>
        <v>-36.3333333333333</v>
      </c>
      <c r="F114" s="118" t="n">
        <f aca="false">F378/F1</f>
        <v>-35.4516129032258</v>
      </c>
      <c r="G114" s="118" t="n">
        <f aca="false">G378/G1</f>
        <v>-34.7333333333333</v>
      </c>
      <c r="H114" s="118" t="n">
        <f aca="false">H378/H1</f>
        <v>-32.9677419354839</v>
      </c>
      <c r="I114" s="118" t="n">
        <f aca="false">I378/I1</f>
        <v>-33.1612903225807</v>
      </c>
      <c r="J114" s="118" t="n">
        <f aca="false">J378/J1</f>
        <v>-31.9333333333333</v>
      </c>
      <c r="K114" s="118" t="n">
        <f aca="false">K378/K1</f>
        <v>-29.1612903225806</v>
      </c>
      <c r="L114" s="118" t="n">
        <f aca="false">L378/L1</f>
        <v>-30.7666666666667</v>
      </c>
      <c r="M114" s="118" t="n">
        <f aca="false">M378/M1</f>
        <v>-34</v>
      </c>
      <c r="N114" s="56" t="n">
        <f aca="false">N378/N1</f>
        <v>-32.8821917808219</v>
      </c>
      <c r="O114" s="135" t="n">
        <f aca="false">SUM(D114:F114)</f>
        <v>-103.655913978495</v>
      </c>
      <c r="P114" s="135" t="n">
        <f aca="false">SUM(E114:G114)</f>
        <v>-106.518279569892</v>
      </c>
      <c r="Q114" s="135" t="n">
        <f aca="false">SUM(F114:H114)</f>
        <v>-103.152688172043</v>
      </c>
      <c r="R114" s="135" t="n">
        <f aca="false">SUM(G114:I114)</f>
        <v>-100.862365591398</v>
      </c>
      <c r="S114" s="97" t="e">
        <f aca="false">S378/S1</f>
        <v>#REF!</v>
      </c>
      <c r="T114" s="56"/>
      <c r="U114" s="56"/>
    </row>
    <row r="115" customFormat="false" ht="12.75" hidden="false" customHeight="false" outlineLevel="0" collapsed="false">
      <c r="A115" s="92" t="s">
        <v>132</v>
      </c>
      <c r="B115" s="136" t="n">
        <f aca="false">B381</f>
        <v>8.21</v>
      </c>
      <c r="C115" s="136" t="n">
        <f aca="false">C381</f>
        <v>5.62</v>
      </c>
      <c r="D115" s="136" t="n">
        <f aca="false">D381</f>
        <v>4.98</v>
      </c>
      <c r="E115" s="136" t="n">
        <f aca="false">E381</f>
        <v>4.87</v>
      </c>
      <c r="F115" s="136" t="n">
        <f aca="false">F381</f>
        <v>3.82</v>
      </c>
      <c r="G115" s="136" t="n">
        <f aca="false">G381</f>
        <v>3.19</v>
      </c>
      <c r="H115" s="136" t="n">
        <f aca="false">H381</f>
        <v>2.77</v>
      </c>
      <c r="I115" s="136" t="n">
        <f aca="false">I381</f>
        <v>2.77</v>
      </c>
      <c r="J115" s="136" t="n">
        <f aca="false">J381</f>
        <v>1.95</v>
      </c>
      <c r="K115" s="136" t="n">
        <f aca="false">K381</f>
        <v>2.28</v>
      </c>
      <c r="L115" s="136" t="n">
        <f aca="false">L381</f>
        <v>2.53</v>
      </c>
      <c r="M115" s="136" t="n">
        <f aca="false">M381</f>
        <v>2.85</v>
      </c>
      <c r="N115" s="137" t="n">
        <f aca="false">AVERAGE(B115:M115)</f>
        <v>3.82</v>
      </c>
      <c r="O115" s="138" t="n">
        <f aca="false">SUM(D115:F115)</f>
        <v>13.67</v>
      </c>
      <c r="P115" s="138" t="n">
        <f aca="false">SUM(E115:G115)</f>
        <v>11.88</v>
      </c>
      <c r="Q115" s="138" t="n">
        <f aca="false">SUM(F115:H115)</f>
        <v>9.78</v>
      </c>
      <c r="R115" s="138" t="n">
        <f aca="false">SUM(G115:I115)</f>
        <v>8.73</v>
      </c>
      <c r="S115" s="139" t="n">
        <f aca="false">AVERAGE(B115:D115)</f>
        <v>6.27</v>
      </c>
      <c r="T115" s="137"/>
      <c r="U115" s="137"/>
    </row>
    <row r="116" customFormat="false" ht="12.75" hidden="false" customHeight="false" outlineLevel="0" collapsed="false">
      <c r="A116" s="92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7"/>
      <c r="O116" s="137"/>
      <c r="P116" s="140"/>
      <c r="Q116" s="140"/>
      <c r="R116" s="97"/>
      <c r="S116" s="139"/>
      <c r="T116" s="137"/>
      <c r="U116" s="137"/>
    </row>
    <row r="117" customFormat="false" ht="12.75" hidden="false" customHeight="false" outlineLevel="0" collapsed="false">
      <c r="A117" s="92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7"/>
      <c r="O117" s="137"/>
      <c r="P117" s="140"/>
      <c r="Q117" s="140"/>
      <c r="R117" s="97"/>
      <c r="S117" s="139"/>
      <c r="T117" s="137"/>
      <c r="U117" s="137"/>
    </row>
    <row r="118" customFormat="false" ht="15.75" hidden="false" customHeight="false" outlineLevel="0" collapsed="false">
      <c r="A118" s="88" t="s">
        <v>133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56"/>
      <c r="O118" s="56"/>
      <c r="P118" s="93"/>
      <c r="Q118" s="93"/>
      <c r="R118" s="93" t="n">
        <v>12</v>
      </c>
      <c r="S118" s="93" t="e">
        <f aca="false">#REF!</f>
        <v>#REF!</v>
      </c>
      <c r="T118" s="56"/>
      <c r="U118" s="56"/>
    </row>
    <row r="119" customFormat="false" ht="12.75" hidden="false" customHeight="false" outlineLevel="0" collapsed="false">
      <c r="A119" s="92" t="s">
        <v>134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56"/>
      <c r="O119" s="56"/>
      <c r="P119" s="93"/>
      <c r="Q119" s="93"/>
      <c r="R119" s="93"/>
      <c r="S119" s="93"/>
      <c r="T119" s="56"/>
      <c r="U119" s="56"/>
    </row>
    <row r="120" customFormat="false" ht="12.75" hidden="false" customHeight="false" outlineLevel="0" collapsed="false">
      <c r="A120" s="95" t="s">
        <v>14</v>
      </c>
      <c r="B120" s="141" t="n">
        <f aca="false">IF(B14&lt;&gt;0,((B188+B189)/B14)/B$1,0)</f>
        <v>0.302982349360925</v>
      </c>
      <c r="C120" s="141" t="n">
        <f aca="false">IF(C14&lt;&gt;0,((C188+C189)/C14)/C$1,0)</f>
        <v>0.302964959568733</v>
      </c>
      <c r="D120" s="141" t="n">
        <f aca="false">IF(D14&lt;&gt;0,((D188+D189)/D14)/D$1,0)</f>
        <v>0.30299452221546</v>
      </c>
      <c r="E120" s="141" t="n">
        <f aca="false">IF(E14&lt;&gt;0,((E188+E189)/E14)/E$1,0)</f>
        <v>0.302981132075472</v>
      </c>
      <c r="F120" s="141" t="n">
        <f aca="false">IF(F14&lt;&gt;0,((F188+F189)/F14)/F$1,0)</f>
        <v>0.3024602376655</v>
      </c>
      <c r="G120" s="141" t="n">
        <f aca="false">IF(G14&lt;&gt;0,((G188+G189)/G14)/G$1,0)</f>
        <v>0.305950120268388</v>
      </c>
      <c r="H120" s="141" t="n">
        <f aca="false">IF(H14&lt;&gt;0,((H188+H189)/H14)/H$1,0)</f>
        <v>0.331270136224483</v>
      </c>
      <c r="I120" s="141" t="n">
        <f aca="false">IF(I14&lt;&gt;0,((I188+I189)/I14)/I$1,0)</f>
        <v>0.344264267475903</v>
      </c>
      <c r="J120" s="141" t="n">
        <f aca="false">IF(J14&lt;&gt;0,((J188+J189)/J14)/J$1,0)</f>
        <v>0.302490925021905</v>
      </c>
      <c r="K120" s="141" t="n">
        <f aca="false">IF(K14&lt;&gt;0,((K188+K189)/K14)/K$1,0)</f>
        <v>0.302561284265866</v>
      </c>
      <c r="L120" s="141" t="n">
        <f aca="false">IF(L14&lt;&gt;0,((L188+L189)/L14)/L$1,0)</f>
        <v>0.264833158092377</v>
      </c>
      <c r="M120" s="141" t="n">
        <f aca="false">IF(M14&lt;&gt;0,((M188+M189)/M14)/M$1,0)</f>
        <v>0.264833158092377</v>
      </c>
      <c r="N120" s="142" t="n">
        <f aca="false">IF(N14&lt;&gt;0,((N188+N189)/N14)/N$1,0)</f>
        <v>0.3019824994957</v>
      </c>
      <c r="O120" s="142"/>
      <c r="P120" s="142" t="n">
        <f aca="false">IF(P14&lt;&gt;0,((P188+P189)/P14)/P$1,0)</f>
        <v>0.911381218831508</v>
      </c>
      <c r="Q120" s="143" t="e">
        <f aca="false">IF(#REF!=0,0,#REF!/#REF!)</f>
        <v>#REF!</v>
      </c>
      <c r="R120" s="143" t="e">
        <f aca="false">IF(#REF!=0,0,#REF!/#REF!)</f>
        <v>#REF!</v>
      </c>
      <c r="S120" s="143" t="e">
        <f aca="false">IF(#REF!=0,0,#REF!/#REF!)</f>
        <v>#REF!</v>
      </c>
      <c r="T120" s="142" t="n">
        <f aca="false">IF(T14&lt;&gt;0,((T188+T189)/T14)/T$1,0)</f>
        <v>0.26073651589558</v>
      </c>
      <c r="U120" s="142" t="n">
        <f aca="false">IF(U14&lt;&gt;0,((U188+U189)/U14)/U$1,0)</f>
        <v>0.26073651589558</v>
      </c>
    </row>
    <row r="121" customFormat="false" ht="12.75" hidden="false" customHeight="false" outlineLevel="0" collapsed="false">
      <c r="A121" s="95" t="s">
        <v>110</v>
      </c>
      <c r="B121" s="141" t="n">
        <f aca="false">IF(B15&lt;&gt;0,(B190/B15)/B$1,0)</f>
        <v>0.0246686887841125</v>
      </c>
      <c r="C121" s="141" t="n">
        <f aca="false">IF(C15&lt;&gt;0,(C190/C15)/C$1,0)</f>
        <v>0.0247167027209968</v>
      </c>
      <c r="D121" s="141" t="n">
        <f aca="false">IF(D15&lt;&gt;0,(D190/D15)/D$1,0)</f>
        <v>0.0246728943291458</v>
      </c>
      <c r="E121" s="141" t="n">
        <f aca="false">IF(E15&lt;&gt;0,(E190/E15)/E$1,0)</f>
        <v>0.0288249642526705</v>
      </c>
      <c r="F121" s="141" t="n">
        <f aca="false">IF(F15&lt;&gt;0,(F190/F15)/F$1,0)</f>
        <v>0.0291182409259098</v>
      </c>
      <c r="G121" s="141" t="n">
        <f aca="false">IF(G15&lt;&gt;0,(G190/G15)/G$1,0)</f>
        <v>0.02865725443076</v>
      </c>
      <c r="H121" s="141" t="n">
        <f aca="false">IF(H15&lt;&gt;0,(H190/H15)/H$1,0)</f>
        <v>0.0289768611241318</v>
      </c>
      <c r="I121" s="141" t="n">
        <f aca="false">IF(I15&lt;&gt;0,(I190/I15)/I$1,0)</f>
        <v>0.045263078105881</v>
      </c>
      <c r="J121" s="141" t="n">
        <f aca="false">IF(J15&lt;&gt;0,(J190/J15)/J$1,0)</f>
        <v>0.0274734000317612</v>
      </c>
      <c r="K121" s="141" t="n">
        <f aca="false">IF(K15&lt;&gt;0,(K190/K15)/K$1,0)</f>
        <v>0.027252929077506</v>
      </c>
      <c r="L121" s="141" t="n">
        <f aca="false">IF(L15&lt;&gt;0,(L190/L15)/L$1,0)</f>
        <v>0.0271229953221113</v>
      </c>
      <c r="M121" s="141" t="n">
        <f aca="false">IF(M15&lt;&gt;0,(M190/M15)/M$1,0)</f>
        <v>0.026843372136688</v>
      </c>
      <c r="N121" s="142" t="n">
        <f aca="false">IF(N15&lt;&gt;0,(N190/N15)/N$1,0)</f>
        <v>0.0282371101854082</v>
      </c>
      <c r="O121" s="142"/>
      <c r="P121" s="142" t="n">
        <f aca="false">IF(P15&lt;&gt;0,(P190/P15)/P$1,0)</f>
        <v>0.0865466017380231</v>
      </c>
      <c r="Q121" s="143" t="e">
        <f aca="false">IF(#REF!=0,0,#REF!/#REF!)</f>
        <v>#REF!</v>
      </c>
      <c r="R121" s="143" t="e">
        <f aca="false">IF(#REF!=0,0,#REF!/#REF!)</f>
        <v>#REF!</v>
      </c>
      <c r="S121" s="143" t="e">
        <f aca="false">IF(#REF!=0,0,#REF!/#REF!)</f>
        <v>#REF!</v>
      </c>
      <c r="T121" s="142" t="n">
        <f aca="false">IF(T15&lt;&gt;0,(T190/T15)/T$1,0)</f>
        <v>0.0268802066536204</v>
      </c>
      <c r="U121" s="142" t="n">
        <f aca="false">IF(U15&lt;&gt;0,(U190/U15)/U$1,0)</f>
        <v>0.0268802066536204</v>
      </c>
    </row>
    <row r="122" customFormat="false" ht="12.75" hidden="false" customHeight="false" outlineLevel="0" collapsed="false">
      <c r="A122" s="95" t="s">
        <v>111</v>
      </c>
      <c r="B122" s="141" t="n">
        <f aca="false">IF(B16&lt;&gt;0,(B191/B16)/B$1,0)</f>
        <v>0.0255532776009797</v>
      </c>
      <c r="C122" s="141" t="n">
        <f aca="false">IF(C16&lt;&gt;0,(C191/C16)/C$1,0)</f>
        <v>0.0252987785749704</v>
      </c>
      <c r="D122" s="141" t="n">
        <f aca="false">IF(D16&lt;&gt;0,(D191/D16)/D$1,0)</f>
        <v>0.025439286650931</v>
      </c>
      <c r="E122" s="141" t="n">
        <f aca="false">IF(E16&lt;&gt;0,(E191/E16)/E$1,0)</f>
        <v>0.0254295532646048</v>
      </c>
      <c r="F122" s="141" t="n">
        <f aca="false">IF(F16&lt;&gt;0,(F191/F16)/F$1,0)</f>
        <v>0.0243055555555556</v>
      </c>
      <c r="G122" s="141" t="n">
        <f aca="false">IF(G16&lt;&gt;0,(G191/G16)/G$1,0)</f>
        <v>0.0242666666666667</v>
      </c>
      <c r="H122" s="141" t="n">
        <f aca="false">IF(H16&lt;&gt;0,(H191/H16)/H$1,0)</f>
        <v>0.0247804538735762</v>
      </c>
      <c r="I122" s="141" t="n">
        <f aca="false">IF(I16&lt;&gt;0,(I191/I16)/I$1,0)</f>
        <v>0.0241591476479723</v>
      </c>
      <c r="J122" s="141" t="n">
        <f aca="false">IF(J16&lt;&gt;0,(J191/J16)/J$1,0)</f>
        <v>0</v>
      </c>
      <c r="K122" s="141" t="n">
        <f aca="false">IF(K16&lt;&gt;0,(K191/K16)/K$1,0)</f>
        <v>0</v>
      </c>
      <c r="L122" s="141" t="n">
        <f aca="false">IF(L16&lt;&gt;0,(L191/L16)/L$1,0)</f>
        <v>0</v>
      </c>
      <c r="M122" s="141" t="n">
        <f aca="false">IF(M16&lt;&gt;0,(M191/M16)/M$1,0)</f>
        <v>0</v>
      </c>
      <c r="N122" s="142" t="n">
        <f aca="false">IF(N16&lt;&gt;0,(N191/N16)/N$1,0)</f>
        <v>0.0247348463681074</v>
      </c>
      <c r="O122" s="142"/>
      <c r="P122" s="142" t="n">
        <f aca="false">IF(P16&lt;&gt;0,(P191/P16)/P$1,0)</f>
        <v>0.0730673988295028</v>
      </c>
      <c r="Q122" s="143" t="e">
        <f aca="false">IF(#REF!=0,0,#REF!/#REF!)</f>
        <v>#REF!</v>
      </c>
      <c r="R122" s="143" t="e">
        <f aca="false">IF(#REF!=0,0,#REF!/#REF!)</f>
        <v>#REF!</v>
      </c>
      <c r="S122" s="143" t="e">
        <f aca="false">IF(#REF!=0,0,#REF!/#REF!)</f>
        <v>#REF!</v>
      </c>
      <c r="T122" s="142" t="n">
        <f aca="false">IF(T16&lt;&gt;0,(T191/T16)/T$1,0)</f>
        <v>0</v>
      </c>
      <c r="U122" s="142" t="n">
        <f aca="false">IF(U16&lt;&gt;0,(U191/U16)/U$1,0)</f>
        <v>0</v>
      </c>
    </row>
    <row r="123" customFormat="false" ht="12.75" hidden="false" customHeight="false" outlineLevel="0" collapsed="false">
      <c r="A123" s="95" t="s">
        <v>114</v>
      </c>
      <c r="B123" s="141" t="n">
        <f aca="false">IF(B17&lt;&gt;0,(B192/B17)/B$1,0)</f>
        <v>1.75691244239631</v>
      </c>
      <c r="C123" s="141" t="n">
        <f aca="false">IF(C17&lt;&gt;0,(C192/C17)/C$1,0)</f>
        <v>0.0465316758260597</v>
      </c>
      <c r="D123" s="141" t="n">
        <f aca="false">IF(D17&lt;&gt;0,(D192/D17)/D$1,0)</f>
        <v>0.220555138784696</v>
      </c>
      <c r="E123" s="141" t="n">
        <f aca="false">IF(E17&lt;&gt;0,(E192/E17)/E$1,0)</f>
        <v>0.273313896987366</v>
      </c>
      <c r="F123" s="141" t="n">
        <f aca="false">IF(F17&lt;&gt;0,(F192/F17)/F$1,0)</f>
        <v>0.589274707211835</v>
      </c>
      <c r="G123" s="141" t="n">
        <f aca="false">IF(G17&lt;&gt;0,(G192/G17)/G$1,0)</f>
        <v>0.513825424721734</v>
      </c>
      <c r="H123" s="141" t="n">
        <f aca="false">IF(H17&lt;&gt;0,(H192/H17)/H$1,0)</f>
        <v>0.281783681214421</v>
      </c>
      <c r="I123" s="141" t="n">
        <f aca="false">IF(I17&lt;&gt;0,(I192/I17)/I$1,0)</f>
        <v>0.233626588465298</v>
      </c>
      <c r="J123" s="141" t="n">
        <f aca="false">IF(J17&lt;&gt;0,(J192/J17)/J$1,0)</f>
        <v>0.12</v>
      </c>
      <c r="K123" s="141" t="n">
        <f aca="false">IF(K17&lt;&gt;0,(K192/K17)/K$1,0)</f>
        <v>0</v>
      </c>
      <c r="L123" s="141" t="n">
        <f aca="false">IF(L17&lt;&gt;0,(L192/L17)/L$1,0)</f>
        <v>0</v>
      </c>
      <c r="M123" s="141" t="n">
        <f aca="false">IF(M17&lt;&gt;0,(M192/M17)/M$1,0)</f>
        <v>0</v>
      </c>
      <c r="N123" s="142" t="n">
        <f aca="false">IF(N17&lt;&gt;0,(N192/N17)/N$1,0)</f>
        <v>0.372118736177669</v>
      </c>
      <c r="O123" s="142"/>
      <c r="P123" s="142" t="n">
        <f aca="false">IF(P17&lt;&gt;0,(P192/P17)/P$1,0)</f>
        <v>1.27892531197616</v>
      </c>
      <c r="Q123" s="143" t="e">
        <f aca="false">IF(Q192=0,0,Q192/#REF!)</f>
        <v>#REF!</v>
      </c>
      <c r="R123" s="143" t="n">
        <f aca="false">IF(R192=0,0,R192/#REF!)</f>
        <v>0</v>
      </c>
      <c r="S123" s="143" t="e">
        <f aca="false">IF(S192=0,0,S192/#REF!)</f>
        <v>#REF!</v>
      </c>
      <c r="T123" s="142" t="n">
        <f aca="false">IF(T17&lt;&gt;0,(T192/T17)/T$1,0)</f>
        <v>0</v>
      </c>
      <c r="U123" s="142" t="n">
        <f aca="false">IF(U17&lt;&gt;0,(U192/U17)/U$1,0)</f>
        <v>0</v>
      </c>
    </row>
    <row r="124" customFormat="false" ht="12.75" hidden="false" customHeight="false" outlineLevel="0" collapsed="false">
      <c r="A124" s="95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94"/>
      <c r="R124" s="94"/>
      <c r="S124" s="94"/>
      <c r="T124" s="56"/>
      <c r="U124" s="56"/>
    </row>
    <row r="125" customFormat="false" ht="12.75" hidden="false" customHeight="false" outlineLevel="0" collapsed="false">
      <c r="A125" s="92" t="s">
        <v>24</v>
      </c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93"/>
      <c r="R125" s="93"/>
      <c r="S125" s="93"/>
      <c r="T125" s="103"/>
      <c r="U125" s="103"/>
    </row>
    <row r="126" customFormat="false" ht="12.75" hidden="false" customHeight="false" outlineLevel="0" collapsed="false">
      <c r="A126" s="95" t="s">
        <v>14</v>
      </c>
      <c r="B126" s="141" t="n">
        <f aca="false">IF(B21&lt;&gt;0,((B196+B197)/B21)/B$1,0)</f>
        <v>0.281301356714016</v>
      </c>
      <c r="C126" s="141" t="n">
        <f aca="false">IF(C21&lt;&gt;0,((C196+C197)/C21)/C$1,0)</f>
        <v>0.44253776221467</v>
      </c>
      <c r="D126" s="141" t="n">
        <f aca="false">IF(D21&lt;&gt;0,((D196+D197)/D21)/D$1,0)</f>
        <v>-0.0148776648256357</v>
      </c>
      <c r="E126" s="141" t="n">
        <f aca="false">IF(E21&lt;&gt;0,((E196+E197)/E21)/E$1,0)</f>
        <v>0.268354940939211</v>
      </c>
      <c r="F126" s="141" t="n">
        <f aca="false">IF(F21&lt;&gt;0,((F196+F197)/F21)/F$1,0)</f>
        <v>0.286985348330552</v>
      </c>
      <c r="G126" s="141" t="n">
        <f aca="false">IF(G21&lt;&gt;0,((G196+G197)/G21)/G$1,0)</f>
        <v>0.268306288032454</v>
      </c>
      <c r="H126" s="141" t="n">
        <f aca="false">IF(H21&lt;&gt;0,((H196+H197)/H21)/H$1,0)</f>
        <v>0.28846014442245</v>
      </c>
      <c r="I126" s="141" t="n">
        <f aca="false">IF(I21&lt;&gt;0,((I196+I197)/I21)/I$1,0)</f>
        <v>0.286064605301291</v>
      </c>
      <c r="J126" s="141" t="n">
        <f aca="false">IF(J21&lt;&gt;0,((J196+J197)/J21)/J$1,0)</f>
        <v>0.288130221838087</v>
      </c>
      <c r="K126" s="141" t="n">
        <f aca="false">IF(K21&lt;&gt;0,((K196+K197)/K21)/K$1,0)</f>
        <v>0.287462253287197</v>
      </c>
      <c r="L126" s="141" t="n">
        <f aca="false">IF(L21&lt;&gt;0,((L196+L197)/L21)/L$1,0)</f>
        <v>0.241306468227425</v>
      </c>
      <c r="M126" s="141" t="n">
        <f aca="false">IF(M21&lt;&gt;0,((M196+M197)/M21)/M$1,0)</f>
        <v>0.246832763045338</v>
      </c>
      <c r="N126" s="142" t="n">
        <f aca="false">IF(N21&lt;&gt;0,((N196+N197)/N21)/N$1,0)</f>
        <v>0.262463879486662</v>
      </c>
      <c r="O126" s="142"/>
      <c r="P126" s="142" t="n">
        <f aca="false">IF(P21&lt;&gt;0,((P196+P197)/P21)/P$1,0)</f>
        <v>0.823955667620051</v>
      </c>
      <c r="Q126" s="143" t="e">
        <f aca="false">IF(#REF!=0,0,#REF!/#REF!)</f>
        <v>#REF!</v>
      </c>
      <c r="R126" s="143" t="e">
        <f aca="false">IF(#REF!=0,0,#REF!/#REF!)</f>
        <v>#REF!</v>
      </c>
      <c r="S126" s="143" t="e">
        <f aca="false">IF(#REF!=0,0,#REF!/#REF!)</f>
        <v>#REF!</v>
      </c>
      <c r="T126" s="142" t="n">
        <f aca="false">IF(T21&lt;&gt;0,((T196+T197)/T21)/T$1,0)</f>
        <v>0.261758972418274</v>
      </c>
      <c r="U126" s="142" t="n">
        <f aca="false">IF(U21&lt;&gt;0,((U196+U197)/U21)/U$1,0)</f>
        <v>0.306065373719643</v>
      </c>
    </row>
    <row r="127" customFormat="false" ht="12.75" hidden="false" customHeight="false" outlineLevel="0" collapsed="false">
      <c r="A127" s="95" t="s">
        <v>110</v>
      </c>
      <c r="B127" s="141" t="n">
        <f aca="false">IF(B22&lt;&gt;0,((B198/B22)/B$1),0)</f>
        <v>0.026876407026316</v>
      </c>
      <c r="C127" s="141" t="n">
        <f aca="false">IF(C22&lt;&gt;0,((C198/C22)/C$1),0)</f>
        <v>0.0274003889794575</v>
      </c>
      <c r="D127" s="141" t="n">
        <f aca="false">IF(D22&lt;&gt;0,((D198/D22)/D$1),0)</f>
        <v>0.0273793589570975</v>
      </c>
      <c r="E127" s="141" t="n">
        <f aca="false">IF(E22&lt;&gt;0,((E198/E22)/E$1),0)</f>
        <v>0.0271260683760684</v>
      </c>
      <c r="F127" s="141" t="n">
        <f aca="false">IF(F22&lt;&gt;0,((F198/F22)/F$1),0)</f>
        <v>0.0273122761190446</v>
      </c>
      <c r="G127" s="141" t="n">
        <f aca="false">IF(G22&lt;&gt;0,((G198/G22)/G$1),0)</f>
        <v>0.0273398784478728</v>
      </c>
      <c r="H127" s="141" t="n">
        <f aca="false">IF(H22&lt;&gt;0,((H198/H22)/H$1),0)</f>
        <v>0.0274012521745273</v>
      </c>
      <c r="I127" s="141" t="n">
        <f aca="false">IF(I22&lt;&gt;0,((I198/I22)/I$1),0)</f>
        <v>0.0322244097800663</v>
      </c>
      <c r="J127" s="141" t="n">
        <f aca="false">IF(J22&lt;&gt;0,((J198/J22)/J$1),0)</f>
        <v>0.0262343134560777</v>
      </c>
      <c r="K127" s="141" t="n">
        <f aca="false">IF(K22&lt;&gt;0,((K198/K22)/K$1),0)</f>
        <v>0.0300456234921381</v>
      </c>
      <c r="L127" s="141" t="n">
        <f aca="false">IF(L22&lt;&gt;0,((L198/L22)/L$1),0)</f>
        <v>0.0297782169418588</v>
      </c>
      <c r="M127" s="141" t="n">
        <f aca="false">IF(M22&lt;&gt;0,((M198/M22)/M$1),0)</f>
        <v>0.0298405878236529</v>
      </c>
      <c r="N127" s="142" t="n">
        <f aca="false">IF(N22&lt;&gt;0,((N198/N22)/N$1),0)</f>
        <v>0.0282739862898352</v>
      </c>
      <c r="O127" s="142"/>
      <c r="P127" s="142" t="n">
        <f aca="false">IF(P22&lt;&gt;0,((P198/P22)/P$1),0)</f>
        <v>0.0817972350230415</v>
      </c>
      <c r="Q127" s="143" t="e">
        <f aca="false">IF(#REF!=0,0,#REF!/#REF!)</f>
        <v>#REF!</v>
      </c>
      <c r="R127" s="143" t="e">
        <f aca="false">IF(#REF!=0,0,#REF!/#REF!)</f>
        <v>#REF!</v>
      </c>
      <c r="S127" s="143" t="e">
        <f aca="false">IF(#REF!=0,0,#REF!/#REF!)</f>
        <v>#REF!</v>
      </c>
      <c r="T127" s="142" t="n">
        <f aca="false">IF(T22&lt;&gt;0,((T198/T22)/T$1),0)</f>
        <v>0.0303300611175643</v>
      </c>
      <c r="U127" s="142" t="n">
        <f aca="false">IF(U22&lt;&gt;0,((U198/U22)/U$1),0)</f>
        <v>0.0312923784995558</v>
      </c>
    </row>
    <row r="128" customFormat="false" ht="12.75" hidden="false" customHeight="false" outlineLevel="0" collapsed="false">
      <c r="A128" s="95" t="s">
        <v>111</v>
      </c>
      <c r="B128" s="141" t="n">
        <f aca="false">IF(B23&lt;&gt;0,((B199/B23)/B$1),0)</f>
        <v>0.0342151723760384</v>
      </c>
      <c r="C128" s="141" t="n">
        <f aca="false">IF(C23&lt;&gt;0,((C199/C23)/C$1),0)</f>
        <v>0.0325299637110183</v>
      </c>
      <c r="D128" s="141" t="n">
        <f aca="false">IF(D23&lt;&gt;0,((D199/D23)/D$1),0)</f>
        <v>0.0329749103942652</v>
      </c>
      <c r="E128" s="141" t="n">
        <f aca="false">IF(E23&lt;&gt;0,((E199/E23)/E$1),0)</f>
        <v>0.0328125</v>
      </c>
      <c r="F128" s="141" t="n">
        <f aca="false">IF(F23&lt;&gt;0,((F199/F23)/F$1),0)</f>
        <v>0.0331182795698925</v>
      </c>
      <c r="G128" s="141" t="n">
        <f aca="false">IF(G23&lt;&gt;0,((G199/G23)/G$1),0)</f>
        <v>0.0333333333333333</v>
      </c>
      <c r="H128" s="141" t="n">
        <f aca="false">IF(H23&lt;&gt;0,((H199/H23)/H$1),0)</f>
        <v>0.0329593267882188</v>
      </c>
      <c r="I128" s="141" t="n">
        <f aca="false">IF(I23&lt;&gt;0,((I199/I23)/I$1),0)</f>
        <v>0.0329749103942652</v>
      </c>
      <c r="J128" s="141" t="n">
        <f aca="false">IF(J23&lt;&gt;0,((J199/J23)/J$1),0)</f>
        <v>0</v>
      </c>
      <c r="K128" s="141" t="n">
        <f aca="false">IF(K23&lt;&gt;0,((K199/K23)/K$1),0)</f>
        <v>0</v>
      </c>
      <c r="L128" s="141" t="n">
        <f aca="false">IF(L23&lt;&gt;0,((L199/L23)/L$1),0)</f>
        <v>0</v>
      </c>
      <c r="M128" s="141" t="n">
        <f aca="false">IF(M23&lt;&gt;0,((M199/M23)/M$1),0)</f>
        <v>0</v>
      </c>
      <c r="N128" s="142" t="n">
        <f aca="false">IF(N23&lt;&gt;0,((N199/N23)/N$1),0)</f>
        <v>0.0329845900118538</v>
      </c>
      <c r="O128" s="142"/>
      <c r="P128" s="142" t="n">
        <f aca="false">IF(P23&lt;&gt;0,((P199/P23)/P$1),0)</f>
        <v>0.099376584953508</v>
      </c>
      <c r="Q128" s="143" t="e">
        <f aca="false">IF(#REF!=0,0,#REF!/#REF!)</f>
        <v>#REF!</v>
      </c>
      <c r="R128" s="143" t="e">
        <f aca="false">IF(#REF!=0,0,#REF!/#REF!)</f>
        <v>#REF!</v>
      </c>
      <c r="S128" s="143" t="e">
        <f aca="false">IF(#REF!=0,0,#REF!/#REF!)</f>
        <v>#REF!</v>
      </c>
      <c r="T128" s="142" t="n">
        <f aca="false">IF(T23&lt;&gt;0,((T199/T23)/T$1),0)</f>
        <v>0</v>
      </c>
      <c r="U128" s="142" t="n">
        <f aca="false">IF(U23&lt;&gt;0,((U199/U23)/U$1),0)</f>
        <v>0</v>
      </c>
    </row>
    <row r="129" customFormat="false" ht="12.75" hidden="false" customHeight="false" outlineLevel="0" collapsed="false">
      <c r="A129" s="95" t="s">
        <v>114</v>
      </c>
      <c r="B129" s="141" t="n">
        <f aca="false">IF(B24&lt;&gt;0,((B201/B24)/B$1),0)</f>
        <v>0</v>
      </c>
      <c r="C129" s="141" t="n">
        <f aca="false">IF(C24&lt;&gt;0,((C201/C24)/C$1),0)</f>
        <v>0</v>
      </c>
      <c r="D129" s="141" t="n">
        <f aca="false">IF(D24&lt;&gt;0,((D201/D24)/D$1),0)</f>
        <v>0</v>
      </c>
      <c r="E129" s="141" t="n">
        <f aca="false">IF(E24&lt;&gt;0,((E201/E24)/E$1),0)</f>
        <v>0</v>
      </c>
      <c r="F129" s="141" t="n">
        <f aca="false">IF(F24&lt;&gt;0,((F201/F24)/F$1),0)</f>
        <v>0</v>
      </c>
      <c r="G129" s="141" t="n">
        <f aca="false">IF(G24&lt;&gt;0,((G201/G24)/G$1),0)</f>
        <v>0</v>
      </c>
      <c r="H129" s="141" t="n">
        <f aca="false">IF(H24&lt;&gt;0,((H201/H24)/H$1),0)</f>
        <v>0</v>
      </c>
      <c r="I129" s="141" t="n">
        <f aca="false">IF(I24&lt;&gt;0,((I201/I24)/I$1),0)</f>
        <v>0</v>
      </c>
      <c r="J129" s="141" t="n">
        <f aca="false">IF(J24&lt;&gt;0,((J201/J24)/J$1),0)</f>
        <v>0</v>
      </c>
      <c r="K129" s="141" t="n">
        <f aca="false">IF(K24&lt;&gt;0,((K201/K24)/K$1),0)</f>
        <v>0.02</v>
      </c>
      <c r="L129" s="141" t="n">
        <f aca="false">IF(L24&lt;&gt;0,((L201/L24)/L$1),0)</f>
        <v>0.02</v>
      </c>
      <c r="M129" s="141" t="n">
        <f aca="false">IF(M24&lt;&gt;0,((M201/M24)/M$1),0)</f>
        <v>0.02</v>
      </c>
      <c r="N129" s="142" t="n">
        <f aca="false">IF(N24&lt;&gt;0,((N201/N24)/N$1),0)</f>
        <v>0.0176095696835097</v>
      </c>
      <c r="O129" s="142"/>
      <c r="P129" s="142" t="n">
        <f aca="false">IF(P24&lt;&gt;0,((P201/P24)/P$1),0)</f>
        <v>0</v>
      </c>
      <c r="Q129" s="143" t="e">
        <f aca="false">IF(#REF!=0,0,#REF!/#REF!)</f>
        <v>#REF!</v>
      </c>
      <c r="R129" s="143" t="e">
        <f aca="false">IF(#REF!=0,0,#REF!/#REF!)</f>
        <v>#REF!</v>
      </c>
      <c r="S129" s="143" t="e">
        <f aca="false">IF(#REF!=0,0,#REF!/#REF!)</f>
        <v>#REF!</v>
      </c>
      <c r="T129" s="142" t="n">
        <f aca="false">IF(T24&lt;&gt;0,((T201/T24)/T$1),0)</f>
        <v>0.0201643835616438</v>
      </c>
      <c r="U129" s="142" t="n">
        <f aca="false">IF(U24&lt;&gt;0,((U201/U24)/U$1),0)</f>
        <v>0.0201643835616438</v>
      </c>
    </row>
    <row r="130" customFormat="false" ht="12.75" hidden="false" customHeight="false" outlineLevel="0" collapsed="false">
      <c r="A130" s="95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94"/>
      <c r="R130" s="94"/>
      <c r="S130" s="94"/>
      <c r="T130" s="56"/>
      <c r="U130" s="56"/>
    </row>
    <row r="131" customFormat="false" ht="12.75" hidden="false" customHeight="false" outlineLevel="0" collapsed="false">
      <c r="A131" s="92" t="s">
        <v>135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93"/>
      <c r="R131" s="93"/>
      <c r="S131" s="93"/>
      <c r="T131" s="103"/>
      <c r="U131" s="103"/>
    </row>
    <row r="132" customFormat="false" ht="12.75" hidden="false" customHeight="false" outlineLevel="0" collapsed="false">
      <c r="A132" s="95" t="s">
        <v>14</v>
      </c>
      <c r="B132" s="141" t="n">
        <f aca="false">IF(B28&lt;&gt;0,((B205/B28)/B$1),0)</f>
        <v>0.161290322580645</v>
      </c>
      <c r="C132" s="141" t="n">
        <f aca="false">IF(C28&lt;&gt;0,((C205/C28)/C$1),0)</f>
        <v>0.156547619047619</v>
      </c>
      <c r="D132" s="141" t="n">
        <f aca="false">IF(D28&lt;&gt;0,((D205/D28)/D$1),0)</f>
        <v>0.156935483870968</v>
      </c>
      <c r="E132" s="141" t="n">
        <f aca="false">IF(E28&lt;&gt;0,((E205/E28)/E$1),0)</f>
        <v>0.159166666666667</v>
      </c>
      <c r="F132" s="141" t="n">
        <f aca="false">IF(F28&lt;&gt;0,((F205/F28)/F$1),0)</f>
        <v>0.157849462365591</v>
      </c>
      <c r="G132" s="141" t="n">
        <f aca="false">IF(G28&lt;&gt;0,((G205/G28)/G$1),0)</f>
        <v>0.157666666666667</v>
      </c>
      <c r="H132" s="141" t="n">
        <f aca="false">IF(H28&lt;&gt;0,((H205/H28)/H$1),0)</f>
        <v>0.157043010752688</v>
      </c>
      <c r="I132" s="141" t="n">
        <f aca="false">IF(I28&lt;&gt;0,((I205/I28)/I$1),0)</f>
        <v>0.157258064516129</v>
      </c>
      <c r="J132" s="141" t="n">
        <f aca="false">IF(J28&lt;&gt;0,((J205/J28)/J$1),0)</f>
        <v>0.158277777777778</v>
      </c>
      <c r="K132" s="141" t="n">
        <f aca="false">IF(K28&lt;&gt;0,((K205/K28)/K$1),0)</f>
        <v>0.15919</v>
      </c>
      <c r="L132" s="141" t="n">
        <f aca="false">IF(L28&lt;&gt;0,((L205/L28)/L$1),0)</f>
        <v>0.15919</v>
      </c>
      <c r="M132" s="141" t="n">
        <f aca="false">IF(M28&lt;&gt;0,((M205/M28)/M$1),0)</f>
        <v>0.16419</v>
      </c>
      <c r="N132" s="142" t="n">
        <f aca="false">IF(N28&lt;&gt;0,((N205/N28)/N$1),0)</f>
        <v>0.158756139756811</v>
      </c>
      <c r="O132" s="142"/>
      <c r="P132" s="142" t="n">
        <f aca="false">IF(P28&lt;&gt;0,((P205/P28)/P$1),0)</f>
        <v>0.474782775364171</v>
      </c>
      <c r="Q132" s="143"/>
      <c r="R132" s="143"/>
      <c r="S132" s="143"/>
      <c r="T132" s="142" t="n">
        <f aca="false">IF(T28&lt;&gt;0,((T205/T28)/T$1),0)</f>
        <v>0.575761584598297</v>
      </c>
      <c r="U132" s="142" t="n">
        <f aca="false">IF(U28&lt;&gt;0,((U205/U28)/U$1),0)</f>
        <v>0.703878478473581</v>
      </c>
    </row>
    <row r="133" customFormat="false" ht="12.75" hidden="false" customHeight="false" outlineLevel="0" collapsed="false">
      <c r="A133" s="95" t="s">
        <v>110</v>
      </c>
      <c r="B133" s="141" t="n">
        <f aca="false">IF(B29&lt;&gt;0,((B206/B29)/B$1),0)</f>
        <v>0.0184041043317849</v>
      </c>
      <c r="C133" s="141" t="n">
        <f aca="false">IF(C29&lt;&gt;0,((C206/C29)/C$1),0)</f>
        <v>0.0188626434473611</v>
      </c>
      <c r="D133" s="141" t="n">
        <f aca="false">IF(D29&lt;&gt;0,((D206/D29)/D$1),0)</f>
        <v>0.0185594343791427</v>
      </c>
      <c r="E133" s="141" t="n">
        <f aca="false">IF(E29&lt;&gt;0,((E206/E29)/E$1),0)</f>
        <v>0.0185854025583145</v>
      </c>
      <c r="F133" s="141" t="n">
        <f aca="false">IF(F29&lt;&gt;0,((F206/F29)/F$1),0)</f>
        <v>0.0186081782651811</v>
      </c>
      <c r="G133" s="141" t="n">
        <f aca="false">IF(G29&lt;&gt;0,((G206/G29)/G$1),0)</f>
        <v>0.0186046511627907</v>
      </c>
      <c r="H133" s="141" t="n">
        <f aca="false">IF(H29&lt;&gt;0,((H206/H29)/H$1),0)</f>
        <v>0.0186082790127584</v>
      </c>
      <c r="I133" s="141" t="n">
        <f aca="false">IF(I29&lt;&gt;0,((I206/I29)/I$1),0)</f>
        <v>0.0185455771608407</v>
      </c>
      <c r="J133" s="141" t="n">
        <f aca="false">IF(J29&lt;&gt;0,((J206/J29)/J$1),0)</f>
        <v>0.0186147186147186</v>
      </c>
      <c r="K133" s="141" t="n">
        <f aca="false">IF(K29&lt;&gt;0,((K206/K29)/K$1),0)</f>
        <v>0.0186</v>
      </c>
      <c r="L133" s="141" t="n">
        <f aca="false">IF(L29&lt;&gt;0,((L206/L29)/L$1),0)</f>
        <v>0.0186</v>
      </c>
      <c r="M133" s="141" t="n">
        <f aca="false">IF(M29&lt;&gt;0,((M206/M29)/M$1),0)</f>
        <v>0.0186</v>
      </c>
      <c r="N133" s="142" t="n">
        <f aca="false">IF(N29&lt;&gt;0,((N206/N29)/N$1),0)</f>
        <v>0.0185975192963123</v>
      </c>
      <c r="O133" s="142"/>
      <c r="P133" s="142" t="n">
        <f aca="false">IF(P29&lt;&gt;0,((P206/P29)/P$1),0)</f>
        <v>0.055842549733225</v>
      </c>
      <c r="Q133" s="143" t="e">
        <f aca="false">#REF!</f>
        <v>#REF!</v>
      </c>
      <c r="R133" s="143" t="e">
        <f aca="false">#REF!</f>
        <v>#REF!</v>
      </c>
      <c r="S133" s="143" t="e">
        <f aca="false">#REF!</f>
        <v>#REF!</v>
      </c>
      <c r="T133" s="142" t="n">
        <f aca="false">IF(T29&lt;&gt;0,((T206/T29)/T$1),0)</f>
        <v>0.0187032950758978</v>
      </c>
      <c r="U133" s="142" t="n">
        <f aca="false">IF(U29&lt;&gt;0,((U206/U29)/U$1),0)</f>
        <v>0.0185998561068263</v>
      </c>
    </row>
    <row r="134" customFormat="false" ht="12.75" hidden="false" customHeight="false" outlineLevel="0" collapsed="false">
      <c r="A134" s="95" t="s">
        <v>111</v>
      </c>
      <c r="B134" s="141" t="n">
        <f aca="false">IF(B30&lt;&gt;0,((B207/B30)/B$1),0)</f>
        <v>0</v>
      </c>
      <c r="C134" s="141" t="n">
        <f aca="false">IF(C30&lt;&gt;0,((C207/C30)/C$1),0)</f>
        <v>0</v>
      </c>
      <c r="D134" s="141" t="n">
        <f aca="false">IF(D30&lt;&gt;0,((D207/D30)/D$1),0)</f>
        <v>0</v>
      </c>
      <c r="E134" s="141" t="n">
        <f aca="false">IF(E30&lt;&gt;0,((E207/E30)/E$1),0)</f>
        <v>0</v>
      </c>
      <c r="F134" s="141" t="n">
        <f aca="false">IF(F30&lt;&gt;0,((F207/F30)/F$1),0)</f>
        <v>0</v>
      </c>
      <c r="G134" s="141" t="n">
        <f aca="false">IF(G30&lt;&gt;0,((G207/G30)/G$1),0)</f>
        <v>0</v>
      </c>
      <c r="H134" s="141" t="n">
        <f aca="false">IF(H30&lt;&gt;0,((H207/H30)/H$1),0)</f>
        <v>0</v>
      </c>
      <c r="I134" s="141" t="n">
        <f aca="false">IF(I30&lt;&gt;0,((I207/I30)/I$1),0)</f>
        <v>0</v>
      </c>
      <c r="J134" s="141" t="n">
        <f aca="false">IF(J30&lt;&gt;0,((J207/J30)/J$1),0)</f>
        <v>0</v>
      </c>
      <c r="K134" s="141" t="n">
        <f aca="false">IF(K30&lt;&gt;0,((K207/K30)/K$1),0)</f>
        <v>0</v>
      </c>
      <c r="L134" s="141" t="n">
        <f aca="false">IF(L30&lt;&gt;0,((L207/L30)/L$1),0)</f>
        <v>0</v>
      </c>
      <c r="M134" s="141" t="n">
        <f aca="false">IF(M30&lt;&gt;0,((M207/M30)/M$1),0)</f>
        <v>0</v>
      </c>
      <c r="N134" s="142" t="n">
        <f aca="false">IF(N30&lt;&gt;0,((N207/N30)/N$1),0)</f>
        <v>0</v>
      </c>
      <c r="O134" s="142"/>
      <c r="P134" s="142" t="n">
        <f aca="false">IF(P30&lt;&gt;0,((P207/P30)/P$1),0)</f>
        <v>0</v>
      </c>
      <c r="Q134" s="143" t="e">
        <f aca="false">#REF!</f>
        <v>#REF!</v>
      </c>
      <c r="R134" s="143" t="e">
        <f aca="false">#REF!</f>
        <v>#REF!</v>
      </c>
      <c r="S134" s="143" t="e">
        <f aca="false">#REF!</f>
        <v>#REF!</v>
      </c>
      <c r="T134" s="142" t="n">
        <f aca="false">IF(T30&lt;&gt;0,((T207/T30)/T$1),0)</f>
        <v>0</v>
      </c>
      <c r="U134" s="142" t="n">
        <f aca="false">IF(U30&lt;&gt;0,((U207/U30)/U$1),0)</f>
        <v>0</v>
      </c>
    </row>
    <row r="135" customFormat="false" ht="12.75" hidden="false" customHeight="false" outlineLevel="0" collapsed="false">
      <c r="A135" s="95" t="s">
        <v>114</v>
      </c>
      <c r="B135" s="141" t="n">
        <f aca="false">IF(B31&lt;&gt;0,((B208/B31)/B$1),0)</f>
        <v>0</v>
      </c>
      <c r="C135" s="141" t="n">
        <f aca="false">IF(C31&lt;&gt;0,((C208/C31)/C$1),0)</f>
        <v>0</v>
      </c>
      <c r="D135" s="141" t="n">
        <f aca="false">IF(D31&lt;&gt;0,((D208/D31)/D$1),0)</f>
        <v>0</v>
      </c>
      <c r="E135" s="141" t="n">
        <f aca="false">IF(E31&lt;&gt;0,((E208/E31)/E$1),0)</f>
        <v>0</v>
      </c>
      <c r="F135" s="141" t="n">
        <f aca="false">IF(F31&lt;&gt;0,((F208/F31)/F$1),0)</f>
        <v>0</v>
      </c>
      <c r="G135" s="141" t="n">
        <f aca="false">IF(G31&lt;&gt;0,((G208/G31)/G$1),0)</f>
        <v>0</v>
      </c>
      <c r="H135" s="141" t="n">
        <f aca="false">IF(H31&lt;&gt;0,((H208/H31)/H$1),0)</f>
        <v>0</v>
      </c>
      <c r="I135" s="141" t="n">
        <f aca="false">IF(I31&lt;&gt;0,((I208/I31)/I$1),0)</f>
        <v>0</v>
      </c>
      <c r="J135" s="141" t="n">
        <f aca="false">IF(J31&lt;&gt;0,((J208/J31)/J$1),0)</f>
        <v>0</v>
      </c>
      <c r="K135" s="141" t="n">
        <f aca="false">IF(K31&lt;&gt;0,((K208/K31)/K$1),0)</f>
        <v>0</v>
      </c>
      <c r="L135" s="141" t="n">
        <f aca="false">IF(L31&lt;&gt;0,((L208/L31)/L$1),0)</f>
        <v>0</v>
      </c>
      <c r="M135" s="141" t="n">
        <f aca="false">IF(M31&lt;&gt;0,((M208/M31)/M$1),0)</f>
        <v>0</v>
      </c>
      <c r="N135" s="142" t="n">
        <f aca="false">IF(N31&lt;&gt;0,((N208/N31)/N$1),0)</f>
        <v>0</v>
      </c>
      <c r="O135" s="142"/>
      <c r="P135" s="142" t="n">
        <f aca="false">IF(P31&lt;&gt;0,((P208/P31)/P$1),0)</f>
        <v>0</v>
      </c>
      <c r="Q135" s="143" t="e">
        <f aca="false">#REF!</f>
        <v>#REF!</v>
      </c>
      <c r="R135" s="143" t="e">
        <f aca="false">#REF!</f>
        <v>#REF!</v>
      </c>
      <c r="S135" s="143" t="e">
        <f aca="false">#REF!</f>
        <v>#REF!</v>
      </c>
      <c r="T135" s="142" t="n">
        <f aca="false">IF(T31&lt;&gt;0,((T208/T31)/T$1),0)</f>
        <v>0</v>
      </c>
      <c r="U135" s="142" t="n">
        <f aca="false">IF(U31&lt;&gt;0,((U208/U31)/U$1),0)</f>
        <v>0</v>
      </c>
    </row>
    <row r="136" customFormat="false" ht="12.75" hidden="false" customHeight="false" outlineLevel="0" collapsed="false">
      <c r="A136" s="95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94"/>
      <c r="R136" s="94"/>
      <c r="S136" s="94"/>
      <c r="T136" s="56"/>
      <c r="U136" s="56"/>
    </row>
    <row r="137" customFormat="false" ht="12.75" hidden="false" customHeight="false" outlineLevel="0" collapsed="false">
      <c r="A137" s="92" t="s">
        <v>115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93"/>
      <c r="R137" s="93"/>
      <c r="S137" s="93"/>
      <c r="T137" s="103"/>
      <c r="U137" s="103"/>
    </row>
    <row r="138" customFormat="false" ht="12.75" hidden="false" customHeight="false" outlineLevel="0" collapsed="false">
      <c r="A138" s="95" t="s">
        <v>14</v>
      </c>
      <c r="B138" s="141" t="n">
        <f aca="false">IF(B35&lt;&gt;0,((B212/B35)/B$1),0)</f>
        <v>0.165858458078572</v>
      </c>
      <c r="C138" s="141" t="n">
        <f aca="false">IF(C35&lt;&gt;0,((C212/C35)/C$1),0)</f>
        <v>0.70413961038961</v>
      </c>
      <c r="D138" s="141" t="n">
        <f aca="false">IF(D35&lt;&gt;0,((D212/D35)/D$1),0)</f>
        <v>0.168492278832948</v>
      </c>
      <c r="E138" s="141" t="n">
        <f aca="false">IF(E35&lt;&gt;0,((E212/E35)/E$1),0)</f>
        <v>0.167066805845511</v>
      </c>
      <c r="F138" s="141" t="n">
        <f aca="false">IF(F35&lt;&gt;0,((F212/F35)/F$1),0)</f>
        <v>0.169990333321399</v>
      </c>
      <c r="G138" s="141" t="n">
        <f aca="false">IF(G35&lt;&gt;0,((G212/G35)/G$1),0)</f>
        <v>0.168990559186638</v>
      </c>
      <c r="H138" s="141" t="n">
        <f aca="false">IF(H35&lt;&gt;0,((H212/H35)/H$1),0)</f>
        <v>0.177892374186128</v>
      </c>
      <c r="I138" s="141" t="n">
        <f aca="false">IF(I35&lt;&gt;0,((I212/I35)/I$1),0)</f>
        <v>0.169262446544533</v>
      </c>
      <c r="J138" s="141" t="n">
        <f aca="false">IF(J35&lt;&gt;0,((J212/J35)/J$1),0)</f>
        <v>0.170660856935367</v>
      </c>
      <c r="K138" s="141" t="n">
        <f aca="false">IF(K35&lt;&gt;0,((K212/K35)/K$1),0)</f>
        <v>0.168450642701525</v>
      </c>
      <c r="L138" s="141" t="n">
        <f aca="false">IF(L35&lt;&gt;0,((L212/L35)/L$1),0)</f>
        <v>0.168576485397785</v>
      </c>
      <c r="M138" s="141" t="n">
        <f aca="false">IF(M35&lt;&gt;0,((M212/M35)/M$1),0)</f>
        <v>0.222007832154644</v>
      </c>
      <c r="N138" s="142" t="n">
        <f aca="false">IF(N35&lt;&gt;0,((N212/N35)/N$1),0)</f>
        <v>0.216599048741136</v>
      </c>
      <c r="O138" s="142"/>
      <c r="P138" s="142" t="n">
        <f aca="false">IF(P35&lt;&gt;0,((P212/P35)/P$1),0)</f>
        <v>0.5058486705948</v>
      </c>
      <c r="Q138" s="143" t="e">
        <f aca="false">IF(#REF!=0,0,#REF!/#REF!)</f>
        <v>#REF!</v>
      </c>
      <c r="R138" s="143" t="e">
        <f aca="false">IF(#REF!=0,0,#REF!/#REF!)</f>
        <v>#REF!</v>
      </c>
      <c r="S138" s="143" t="e">
        <f aca="false">IF(#REF!=0,0,#REF!/#REF!)</f>
        <v>#REF!</v>
      </c>
      <c r="T138" s="142" t="n">
        <f aca="false">IF(T35&lt;&gt;0,((T212/T35)/T$1),0)</f>
        <v>0.168680869770496</v>
      </c>
      <c r="U138" s="142" t="n">
        <f aca="false">IF(U35&lt;&gt;0,((U212/U35)/U$1),0)</f>
        <v>0.168680869770496</v>
      </c>
    </row>
    <row r="139" customFormat="false" ht="12.75" hidden="false" customHeight="false" outlineLevel="0" collapsed="false">
      <c r="A139" s="95" t="s">
        <v>110</v>
      </c>
      <c r="B139" s="141" t="n">
        <f aca="false">IF(B36&lt;&gt;0,((B213/B36)/B$1),0)</f>
        <v>0.0186317822374621</v>
      </c>
      <c r="C139" s="141" t="n">
        <f aca="false">IF(C36&lt;&gt;0,((C213/C36)/C$1),0)</f>
        <v>0.0189078113859536</v>
      </c>
      <c r="D139" s="141" t="n">
        <f aca="false">IF(D36&lt;&gt;0,((D213/D36)/D$1),0)</f>
        <v>0.018931247963506</v>
      </c>
      <c r="E139" s="141" t="n">
        <f aca="false">IF(E36&lt;&gt;0,((E213/E36)/E$1),0)</f>
        <v>0.0186136595310907</v>
      </c>
      <c r="F139" s="141" t="n">
        <f aca="false">IF(F36&lt;&gt;0,((F213/F36)/F$1),0)</f>
        <v>0.0185893931109896</v>
      </c>
      <c r="G139" s="141" t="n">
        <f aca="false">IF(G36&lt;&gt;0,((G213/G36)/G$1),0)</f>
        <v>0.0186024003097174</v>
      </c>
      <c r="H139" s="141" t="n">
        <f aca="false">IF(H36&lt;&gt;0,((H213/H36)/H$1),0)</f>
        <v>0.0185915492957746</v>
      </c>
      <c r="I139" s="141" t="n">
        <f aca="false">IF(I36&lt;&gt;0,((I213/I36)/I$1),0)</f>
        <v>0.0279763634602344</v>
      </c>
      <c r="J139" s="141" t="n">
        <f aca="false">IF(J36&lt;&gt;0,((J213/J36)/J$1),0)</f>
        <v>0.0185889034512888</v>
      </c>
      <c r="K139" s="141" t="n">
        <f aca="false">IF(K36&lt;&gt;0,((K213/K36)/K$1),0)</f>
        <v>0.0186</v>
      </c>
      <c r="L139" s="141" t="n">
        <f aca="false">IF(L36&lt;&gt;0,((L213/L36)/L$1),0)</f>
        <v>0.0185924471299094</v>
      </c>
      <c r="M139" s="141" t="n">
        <f aca="false">IF(M36&lt;&gt;0,((M213/M36)/M$1),0)</f>
        <v>0.018592793935376</v>
      </c>
      <c r="N139" s="142" t="n">
        <f aca="false">IF(N36&lt;&gt;0,((N213/N36)/N$1),0)</f>
        <v>0.0193932925680635</v>
      </c>
      <c r="O139" s="142"/>
      <c r="P139" s="142" t="n">
        <f aca="false">IF(P36&lt;&gt;0,((P213/P36)/P$1),0)</f>
        <v>0.0557842157842158</v>
      </c>
      <c r="Q139" s="143" t="e">
        <f aca="false">IF(#REF!=0,0,#REF!/#REF!)</f>
        <v>#REF!</v>
      </c>
      <c r="R139" s="143" t="e">
        <f aca="false">IF(#REF!=0,0,#REF!/#REF!)</f>
        <v>#REF!</v>
      </c>
      <c r="S139" s="143" t="e">
        <f aca="false">IF(#REF!=0,0,#REF!/#REF!)</f>
        <v>#REF!</v>
      </c>
      <c r="T139" s="142" t="n">
        <f aca="false">IF(T36&lt;&gt;0,((T213/T36)/T$1),0)</f>
        <v>0.0186215858743049</v>
      </c>
      <c r="U139" s="142" t="n">
        <f aca="false">IF(U36&lt;&gt;0,((U213/U36)/U$1),0)</f>
        <v>0.0186215858743049</v>
      </c>
    </row>
    <row r="140" customFormat="false" ht="12.75" hidden="false" customHeight="false" outlineLevel="0" collapsed="false">
      <c r="A140" s="95" t="s">
        <v>111</v>
      </c>
      <c r="B140" s="141" t="n">
        <f aca="false">IF(B37&lt;&gt;0,((B214/B37)/B$1),0)</f>
        <v>0</v>
      </c>
      <c r="C140" s="141" t="n">
        <f aca="false">IF(C37&lt;&gt;0,((C214/C37)/C$1),0)</f>
        <v>0</v>
      </c>
      <c r="D140" s="141" t="n">
        <f aca="false">IF(D37&lt;&gt;0,((D214/D37)/D$1),0)</f>
        <v>0</v>
      </c>
      <c r="E140" s="141" t="n">
        <f aca="false">IF(E37&lt;&gt;0,((E214/E37)/E$1),0)</f>
        <v>0</v>
      </c>
      <c r="F140" s="141" t="n">
        <f aca="false">IF(F37&lt;&gt;0,((F214/F37)/F$1),0)</f>
        <v>0</v>
      </c>
      <c r="G140" s="141" t="n">
        <f aca="false">IF(G37&lt;&gt;0,((G214/G37)/G$1),0)</f>
        <v>0</v>
      </c>
      <c r="H140" s="141" t="n">
        <f aca="false">IF(H37&lt;&gt;0,((H214/H37)/H$1),0)</f>
        <v>0</v>
      </c>
      <c r="I140" s="141" t="n">
        <f aca="false">IF(I37&lt;&gt;0,((I214/I37)/I$1),0)</f>
        <v>0</v>
      </c>
      <c r="J140" s="141" t="n">
        <f aca="false">IF(J37&lt;&gt;0,((J214/J37)/J$1),0)</f>
        <v>0</v>
      </c>
      <c r="K140" s="141" t="n">
        <f aca="false">IF(K37&lt;&gt;0,((K214/K37)/K$1),0)</f>
        <v>0</v>
      </c>
      <c r="L140" s="141" t="n">
        <f aca="false">IF(L37&lt;&gt;0,((L214/L37)/L$1),0)</f>
        <v>0</v>
      </c>
      <c r="M140" s="141" t="n">
        <f aca="false">IF(M37&lt;&gt;0,((M214/M37)/M$1),0)</f>
        <v>0</v>
      </c>
      <c r="N140" s="142" t="n">
        <f aca="false">IF(N37&lt;&gt;0,((N214/N37)/N$1),0)</f>
        <v>0</v>
      </c>
      <c r="O140" s="142"/>
      <c r="P140" s="142" t="n">
        <f aca="false">IF(P37&lt;&gt;0,((P214/P37)/P$1),0)</f>
        <v>0</v>
      </c>
      <c r="Q140" s="143" t="e">
        <f aca="false">IF(#REF!=0,0,#REF!/#REF!)</f>
        <v>#REF!</v>
      </c>
      <c r="R140" s="143" t="e">
        <f aca="false">IF(#REF!=0,0,#REF!/#REF!)</f>
        <v>#REF!</v>
      </c>
      <c r="S140" s="143" t="e">
        <f aca="false">IF(#REF!=0,0,#REF!/#REF!)</f>
        <v>#REF!</v>
      </c>
      <c r="T140" s="142" t="n">
        <f aca="false">IF(T37&lt;&gt;0,((T214/T37)/T$1),0)</f>
        <v>0</v>
      </c>
      <c r="U140" s="142" t="n">
        <f aca="false">IF(U37&lt;&gt;0,((U214/U37)/U$1),0)</f>
        <v>0</v>
      </c>
    </row>
    <row r="141" customFormat="false" ht="12.75" hidden="false" customHeight="false" outlineLevel="0" collapsed="false">
      <c r="A141" s="95" t="s">
        <v>114</v>
      </c>
      <c r="B141" s="141" t="n">
        <f aca="false">IF(B39&lt;&gt;0,((B216/B39)/B$1),0)</f>
        <v>0</v>
      </c>
      <c r="C141" s="141" t="n">
        <f aca="false">IF(C39&lt;&gt;0,((C216/C39)/C$1),0)</f>
        <v>0</v>
      </c>
      <c r="D141" s="141" t="n">
        <f aca="false">IF(D39&lt;&gt;0,((D216/D39)/D$1),0)</f>
        <v>0</v>
      </c>
      <c r="E141" s="141" t="n">
        <f aca="false">IF(E39&lt;&gt;0,((E216/E39)/E$1),0)</f>
        <v>0</v>
      </c>
      <c r="F141" s="141" t="n">
        <f aca="false">IF(F39&lt;&gt;0,((F216/F39)/F$1),0)</f>
        <v>0</v>
      </c>
      <c r="G141" s="141" t="n">
        <f aca="false">IF(G39&lt;&gt;0,((G216/G39)/G$1),0)</f>
        <v>-0.0193798449612403</v>
      </c>
      <c r="H141" s="141" t="n">
        <f aca="false">IF(H39&lt;&gt;0,((H216/H39)/H$1),0)</f>
        <v>0</v>
      </c>
      <c r="I141" s="141" t="n">
        <f aca="false">IF(I39&lt;&gt;0,((I216/I39)/I$1),0)</f>
        <v>0</v>
      </c>
      <c r="J141" s="141" t="n">
        <f aca="false">IF(J39&lt;&gt;0,((J216/J39)/J$1),0)</f>
        <v>0</v>
      </c>
      <c r="K141" s="141" t="n">
        <f aca="false">IF(K39&lt;&gt;0,((K216/K39)/K$1),0)</f>
        <v>0</v>
      </c>
      <c r="L141" s="141" t="n">
        <f aca="false">IF(L39&lt;&gt;0,((L216/L39)/L$1),0)</f>
        <v>0</v>
      </c>
      <c r="M141" s="141" t="n">
        <f aca="false">IF(M39&lt;&gt;0,((M216/M39)/M$1),0)</f>
        <v>0</v>
      </c>
      <c r="N141" s="142" t="n">
        <f aca="false">IF(N39&lt;&gt;0,((N216/N39)/N$1),0)</f>
        <v>-0.0191143676330041</v>
      </c>
      <c r="O141" s="142"/>
      <c r="P141" s="142" t="n">
        <f aca="false">IF(P39&lt;&gt;0,((P216/P39)/P$1),0)</f>
        <v>-0.0575006388959877</v>
      </c>
      <c r="Q141" s="143" t="e">
        <f aca="false">IF(#REF!=0,0,#REF!/#REF!)</f>
        <v>#REF!</v>
      </c>
      <c r="R141" s="143" t="e">
        <f aca="false">IF(#REF!=0,0,#REF!/#REF!)</f>
        <v>#REF!</v>
      </c>
      <c r="S141" s="143" t="e">
        <f aca="false">IF(#REF!=0,0,#REF!/#REF!)</f>
        <v>#REF!</v>
      </c>
      <c r="T141" s="142" t="n">
        <f aca="false">IF(T39&lt;&gt;0,((T216/T39)/T$1),0)</f>
        <v>0</v>
      </c>
      <c r="U141" s="142" t="n">
        <f aca="false">IF(U39&lt;&gt;0,((U216/U39)/U$1),0)</f>
        <v>0</v>
      </c>
    </row>
    <row r="142" customFormat="false" ht="12.75" hidden="false" customHeight="false" outlineLevel="0" collapsed="false">
      <c r="A142" s="95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94"/>
      <c r="R142" s="94"/>
      <c r="S142" s="94"/>
      <c r="T142" s="56"/>
      <c r="U142" s="56"/>
    </row>
    <row r="143" customFormat="false" ht="12.75" hidden="false" customHeight="false" outlineLevel="0" collapsed="false">
      <c r="A143" s="92" t="s">
        <v>136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93"/>
      <c r="R143" s="93"/>
      <c r="S143" s="93"/>
      <c r="T143" s="103"/>
      <c r="U143" s="103"/>
    </row>
    <row r="144" customFormat="false" ht="12.75" hidden="false" customHeight="false" outlineLevel="0" collapsed="false">
      <c r="A144" s="95" t="s">
        <v>14</v>
      </c>
      <c r="B144" s="141" t="n">
        <f aca="false">IF(B46&lt;&gt;0,((B224/B46)/B$1),0)</f>
        <v>0.00806451612903226</v>
      </c>
      <c r="C144" s="141" t="n">
        <f aca="false">IF(C46&lt;&gt;0,((C224/C46)/C$1),0)</f>
        <v>0.00758928571428571</v>
      </c>
      <c r="D144" s="141" t="n">
        <f aca="false">IF(D46&lt;&gt;0,((D224/D46)/D$1),0)</f>
        <v>0.00749564984607148</v>
      </c>
      <c r="E144" s="141" t="n">
        <f aca="false">IF(E46&lt;&gt;0,((E224/E46)/E$1),0)</f>
        <v>0.0227916666666667</v>
      </c>
      <c r="F144" s="141" t="n">
        <f aca="false">IF(F46&lt;&gt;0,((F224/F46)/F$1),0)</f>
        <v>0.00991935483870968</v>
      </c>
      <c r="G144" s="141" t="n">
        <f aca="false">IF(G46&lt;&gt;0,((G224/G46)/G$1),0)</f>
        <v>0.0180833333333333</v>
      </c>
      <c r="H144" s="141" t="n">
        <f aca="false">IF(H46&lt;&gt;0,((H224/H46)/H$1),0)</f>
        <v>0.0161290322580645</v>
      </c>
      <c r="I144" s="141" t="n">
        <f aca="false">IF(I46&lt;&gt;0,((I224/I46)/I$1),0)</f>
        <v>0.0104838709677419</v>
      </c>
      <c r="J144" s="141" t="n">
        <f aca="false">IF(J46&lt;&gt;0,((J224/J46)/J$1),0)</f>
        <v>0.0075</v>
      </c>
      <c r="K144" s="141" t="n">
        <f aca="false">IF(K46&lt;&gt;0,((K224/K46)/K$1),0)</f>
        <v>0</v>
      </c>
      <c r="L144" s="141" t="n">
        <f aca="false">IF(L46&lt;&gt;0,((L224/L46)/L$1),0)</f>
        <v>0</v>
      </c>
      <c r="M144" s="141" t="n">
        <f aca="false">IF(M46&lt;&gt;0,((M224/M46)/M$1),0)</f>
        <v>0</v>
      </c>
      <c r="N144" s="142" t="n">
        <f aca="false">IF(N46&lt;&gt;0,((N224/N46)/N$1),0)</f>
        <v>0.0120235624900236</v>
      </c>
      <c r="O144" s="142"/>
      <c r="P144" s="142" t="n">
        <f aca="false">IF(P46&lt;&gt;0,((P224/P46)/P$1),0)</f>
        <v>0.0505631868131868</v>
      </c>
      <c r="Q144" s="143" t="e">
        <f aca="false">IF(#REF!=0,0,#REF!/#REF!)</f>
        <v>#REF!</v>
      </c>
      <c r="R144" s="143" t="e">
        <f aca="false">IF(#REF!=0,0,#REF!/#REF!)</f>
        <v>#REF!</v>
      </c>
      <c r="S144" s="143" t="e">
        <f aca="false">IF(#REF!=0,0,#REF!/#REF!)</f>
        <v>#REF!</v>
      </c>
      <c r="T144" s="142" t="n">
        <f aca="false">IF(T46&lt;&gt;0,((T224/T46)/T$1),0)</f>
        <v>0</v>
      </c>
      <c r="U144" s="142" t="n">
        <f aca="false">IF(U46&lt;&gt;0,((U224/U46)/U$1),0)</f>
        <v>0</v>
      </c>
    </row>
    <row r="145" customFormat="false" ht="12.75" hidden="false" customHeight="false" outlineLevel="0" collapsed="false">
      <c r="A145" s="95" t="s">
        <v>110</v>
      </c>
      <c r="B145" s="141" t="n">
        <f aca="false">IF(B47&lt;&gt;0,((B225/B47)/B$1),0)</f>
        <v>0.00896181817367108</v>
      </c>
      <c r="C145" s="141" t="n">
        <f aca="false">IF(C47&lt;&gt;0,((C225/C47)/C$1),0)</f>
        <v>0.0118468440007582</v>
      </c>
      <c r="D145" s="141" t="n">
        <f aca="false">IF(D47&lt;&gt;0,((D225/D47)/D$1),0)</f>
        <v>0.00992555831265509</v>
      </c>
      <c r="E145" s="141" t="n">
        <f aca="false">IF(E47&lt;&gt;0,((E225/E47)/E$1),0)</f>
        <v>0.0115646258503401</v>
      </c>
      <c r="F145" s="141" t="n">
        <f aca="false">IF(F47&lt;&gt;0,((F225/F47)/F$1),0)</f>
        <v>0</v>
      </c>
      <c r="G145" s="141" t="n">
        <f aca="false">IF(G47&lt;&gt;0,((G225/G47)/G$1),0)</f>
        <v>0.0116575591985428</v>
      </c>
      <c r="H145" s="141" t="n">
        <f aca="false">IF(H47&lt;&gt;0,((H225/H47)/H$1),0)</f>
        <v>0</v>
      </c>
      <c r="I145" s="141" t="n">
        <f aca="false">IF(I47&lt;&gt;0,((I225/I47)/I$1),0)</f>
        <v>0</v>
      </c>
      <c r="J145" s="141" t="n">
        <f aca="false">IF(J47&lt;&gt;0,((J225/J47)/J$1),0)</f>
        <v>0</v>
      </c>
      <c r="K145" s="141" t="n">
        <f aca="false">IF(K47&lt;&gt;0,((K225/K47)/K$1),0)</f>
        <v>0</v>
      </c>
      <c r="L145" s="141" t="n">
        <f aca="false">IF(L47&lt;&gt;0,((L225/L47)/L$1),0)</f>
        <v>0</v>
      </c>
      <c r="M145" s="141" t="n">
        <f aca="false">IF(M47&lt;&gt;0,((M225/M47)/M$1),0)</f>
        <v>0</v>
      </c>
      <c r="N145" s="142" t="n">
        <f aca="false">IF(N47&lt;&gt;0,((N225/N47)/N$1),0)</f>
        <v>0.0077618402128005</v>
      </c>
      <c r="O145" s="142"/>
      <c r="P145" s="142" t="n">
        <f aca="false">IF(P47&lt;&gt;0,((P225/P47)/P$1),0)</f>
        <v>0.0204561625424935</v>
      </c>
      <c r="Q145" s="143" t="e">
        <f aca="false">IF(#REF!=0,0,#REF!/#REF!)</f>
        <v>#REF!</v>
      </c>
      <c r="R145" s="143" t="e">
        <f aca="false">IF(#REF!=0,0,#REF!/#REF!)</f>
        <v>#REF!</v>
      </c>
      <c r="S145" s="143" t="e">
        <f aca="false">IF(#REF!=0,0,#REF!/#REF!)</f>
        <v>#REF!</v>
      </c>
      <c r="T145" s="142" t="n">
        <f aca="false">IF(T47&lt;&gt;0,((T225/T47)/T$1),0)</f>
        <v>0</v>
      </c>
      <c r="U145" s="142" t="n">
        <f aca="false">IF(U47&lt;&gt;0,((U225/U47)/U$1),0)</f>
        <v>0</v>
      </c>
    </row>
    <row r="146" customFormat="false" ht="12.75" hidden="false" customHeight="false" outlineLevel="0" collapsed="false">
      <c r="A146" s="95" t="s">
        <v>111</v>
      </c>
      <c r="B146" s="141" t="n">
        <f aca="false">IF(B48&lt;&gt;0,((B226/B48)/B$1),0)</f>
        <v>0</v>
      </c>
      <c r="C146" s="141" t="n">
        <f aca="false">IF(C48&lt;&gt;0,((C226/C48)/C$1),0)</f>
        <v>0</v>
      </c>
      <c r="D146" s="141" t="n">
        <f aca="false">IF(D48&lt;&gt;0,((D226/D48)/D$1),0)</f>
        <v>0</v>
      </c>
      <c r="E146" s="141" t="n">
        <f aca="false">IF(E48&lt;&gt;0,((E226/E48)/E$1),0)</f>
        <v>0</v>
      </c>
      <c r="F146" s="141" t="n">
        <f aca="false">IF(F48&lt;&gt;0,((F226/F48)/F$1),0)</f>
        <v>0</v>
      </c>
      <c r="G146" s="141" t="n">
        <f aca="false">IF(G48&lt;&gt;0,((G226/G48)/G$1),0)</f>
        <v>0</v>
      </c>
      <c r="H146" s="141" t="n">
        <f aca="false">IF(H48&lt;&gt;0,((H226/H48)/H$1),0)</f>
        <v>0</v>
      </c>
      <c r="I146" s="141" t="n">
        <f aca="false">IF(I48&lt;&gt;0,((I226/I48)/I$1),0)</f>
        <v>0</v>
      </c>
      <c r="J146" s="141" t="n">
        <f aca="false">IF(J48&lt;&gt;0,((J226/J48)/J$1),0)</f>
        <v>0</v>
      </c>
      <c r="K146" s="141" t="n">
        <f aca="false">IF(K48&lt;&gt;0,((K226/K48)/K$1),0)</f>
        <v>0</v>
      </c>
      <c r="L146" s="141" t="n">
        <f aca="false">IF(L48&lt;&gt;0,((L226/L48)/L$1),0)</f>
        <v>0</v>
      </c>
      <c r="M146" s="141" t="n">
        <f aca="false">IF(M48&lt;&gt;0,((M226/M48)/M$1),0)</f>
        <v>0</v>
      </c>
      <c r="N146" s="142" t="n">
        <f aca="false">IF(N48&lt;&gt;0,((N226/N48)/N$1),0)</f>
        <v>0</v>
      </c>
      <c r="O146" s="142"/>
      <c r="P146" s="142" t="n">
        <f aca="false">IF(P48&lt;&gt;0,((P226/P48)/P$1),0)</f>
        <v>0</v>
      </c>
      <c r="Q146" s="143"/>
      <c r="R146" s="143"/>
      <c r="S146" s="143"/>
      <c r="T146" s="142" t="n">
        <f aca="false">IF(T48&lt;&gt;0,((T226/T48)/T$1),0)</f>
        <v>0</v>
      </c>
      <c r="U146" s="142" t="n">
        <f aca="false">IF(U48&lt;&gt;0,((U226/U48)/U$1),0)</f>
        <v>0</v>
      </c>
    </row>
    <row r="147" customFormat="false" ht="12.75" hidden="false" customHeight="false" outlineLevel="0" collapsed="false">
      <c r="A147" s="95" t="s">
        <v>114</v>
      </c>
      <c r="B147" s="141" t="n">
        <f aca="false">IF(B49&lt;&gt;0,((B227/B49)/B$1),0)</f>
        <v>0</v>
      </c>
      <c r="C147" s="141" t="n">
        <f aca="false">IF(C49&lt;&gt;0,((C227/C49)/C$1),0)</f>
        <v>0</v>
      </c>
      <c r="D147" s="141" t="n">
        <f aca="false">IF(D49&lt;&gt;0,((D227/D49)/D$1),0)</f>
        <v>0.406647116324536</v>
      </c>
      <c r="E147" s="141" t="n">
        <f aca="false">IF(E49&lt;&gt;0,((E227/E49)/E$1),0)</f>
        <v>0.28968253968254</v>
      </c>
      <c r="F147" s="141" t="n">
        <f aca="false">IF(F49&lt;&gt;0,((F227/F49)/F$1),0)</f>
        <v>0</v>
      </c>
      <c r="G147" s="141" t="n">
        <f aca="false">IF(G49&lt;&gt;0,((G227/G49)/G$1),0)</f>
        <v>0.0498575498575499</v>
      </c>
      <c r="H147" s="141" t="n">
        <f aca="false">IF(H49&lt;&gt;0,((H227/H49)/H$1),0)</f>
        <v>0.0896057347670251</v>
      </c>
      <c r="I147" s="141" t="n">
        <f aca="false">IF(I49&lt;&gt;0,((I227/I49)/I$1),0)</f>
        <v>0</v>
      </c>
      <c r="J147" s="141" t="n">
        <f aca="false">IF(J49&lt;&gt;0,((J227/J49)/J$1),0)</f>
        <v>0</v>
      </c>
      <c r="K147" s="141" t="n">
        <f aca="false">IF(K49&lt;&gt;0,((K227/K49)/K$1),0)</f>
        <v>0</v>
      </c>
      <c r="L147" s="141" t="n">
        <f aca="false">IF(L49&lt;&gt;0,((L227/L49)/L$1),0)</f>
        <v>0</v>
      </c>
      <c r="M147" s="141" t="n">
        <f aca="false">IF(M49&lt;&gt;0,((M227/M49)/M$1),0)</f>
        <v>0</v>
      </c>
      <c r="N147" s="142" t="n">
        <f aca="false">IF(N49&lt;&gt;0,((N227/N49)/N$1),0)</f>
        <v>0.137359053210325</v>
      </c>
      <c r="O147" s="142"/>
      <c r="P147" s="142" t="n">
        <f aca="false">IF(P49&lt;&gt;0,((P227/P49)/P$1),0)</f>
        <v>0.213733634786266</v>
      </c>
      <c r="Q147" s="143" t="e">
        <f aca="false">IF(#REF!=0,0,(#REF!+#REF!)/#REF!)</f>
        <v>#REF!</v>
      </c>
      <c r="R147" s="143" t="e">
        <f aca="false">IF(#REF!=0,0,(#REF!+#REF!)/#REF!)</f>
        <v>#REF!</v>
      </c>
      <c r="S147" s="143" t="e">
        <f aca="false">IF(#REF!=0,0,(#REF!+#REF!)/#REF!)</f>
        <v>#REF!</v>
      </c>
      <c r="T147" s="142" t="n">
        <f aca="false">IF(T49&lt;&gt;0,((T227/T49)/T$1),0)</f>
        <v>0</v>
      </c>
      <c r="U147" s="142" t="n">
        <f aca="false">IF(U49&lt;&gt;0,((U227/U49)/U$1),0)</f>
        <v>0</v>
      </c>
    </row>
    <row r="148" customFormat="false" ht="12.75" hidden="false" customHeight="false" outlineLevel="0" collapsed="false">
      <c r="A148" s="95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94"/>
      <c r="R148" s="94"/>
      <c r="S148" s="94"/>
      <c r="T148" s="56"/>
      <c r="U148" s="56"/>
    </row>
    <row r="149" customFormat="false" ht="12.75" hidden="false" customHeight="false" outlineLevel="0" collapsed="false">
      <c r="A149" s="92" t="s">
        <v>137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93"/>
      <c r="R149" s="93"/>
      <c r="S149" s="93"/>
      <c r="T149" s="103"/>
      <c r="U149" s="103"/>
    </row>
    <row r="150" customFormat="false" ht="12.75" hidden="false" customHeight="false" outlineLevel="0" collapsed="false">
      <c r="A150" s="95" t="s">
        <v>14</v>
      </c>
      <c r="B150" s="141" t="n">
        <f aca="false">IF(B53&lt;&gt;0,((B231/B53)/B$1),0)</f>
        <v>0.0302952982113811</v>
      </c>
      <c r="C150" s="141" t="n">
        <f aca="false">IF(C53&lt;&gt;0,((C231/C53)/C$1),0)</f>
        <v>0.0311483471710306</v>
      </c>
      <c r="D150" s="141" t="n">
        <f aca="false">IF(D53&lt;&gt;0,((D231/D53)/D$1),0)</f>
        <v>0.048610947477556</v>
      </c>
      <c r="E150" s="141" t="n">
        <f aca="false">IF(E53&lt;&gt;0,((E231/E53)/E$1),0)</f>
        <v>0.0285425582501189</v>
      </c>
      <c r="F150" s="141" t="n">
        <f aca="false">IF(F53&lt;&gt;0,((F231/F53)/F$1),0)</f>
        <v>0.032999760375184</v>
      </c>
      <c r="G150" s="141" t="n">
        <f aca="false">IF(G53&lt;&gt;0,((G231/G53)/G$1),0)</f>
        <v>0.0475043936731107</v>
      </c>
      <c r="H150" s="141" t="n">
        <f aca="false">IF(H53&lt;&gt;0,((H231/H53)/H$1),0)</f>
        <v>0.0402595875492046</v>
      </c>
      <c r="I150" s="141" t="n">
        <f aca="false">IF(I53&lt;&gt;0,((I231/I53)/I$1),0)</f>
        <v>0.0295498954441055</v>
      </c>
      <c r="J150" s="141" t="n">
        <f aca="false">IF(J53&lt;&gt;0,((J231/J53)/J$1),0)</f>
        <v>0.0270378326769304</v>
      </c>
      <c r="K150" s="141" t="n">
        <f aca="false">IF(K53&lt;&gt;0,((K231/K53)/K$1),0)</f>
        <v>0.0208979359605911</v>
      </c>
      <c r="L150" s="141" t="n">
        <f aca="false">IF(L53&lt;&gt;0,((L231/L53)/L$1),0)</f>
        <v>0.0358531131498471</v>
      </c>
      <c r="M150" s="141" t="n">
        <f aca="false">IF(M53&lt;&gt;0,((M231/M53)/M$1),0)</f>
        <v>0.038972516568929</v>
      </c>
      <c r="N150" s="142" t="n">
        <f aca="false">IF(N53&lt;&gt;0,((N231/N53)/N$1),0)</f>
        <v>0.034666282374823</v>
      </c>
      <c r="O150" s="142"/>
      <c r="P150" s="142" t="n">
        <f aca="false">IF(P53&lt;&gt;0,((P231/P53)/P$1),0)</f>
        <v>0.109070082819493</v>
      </c>
      <c r="Q150" s="143" t="e">
        <f aca="false">IF(#REF!=0,0,#REF!/#REF!)</f>
        <v>#REF!</v>
      </c>
      <c r="R150" s="143" t="e">
        <f aca="false">IF(#REF!=0,0,#REF!/#REF!)</f>
        <v>#REF!</v>
      </c>
      <c r="S150" s="143" t="e">
        <f aca="false">IF(#REF!=0,0,#REF!/#REF!)</f>
        <v>#REF!</v>
      </c>
      <c r="T150" s="142" t="n">
        <f aca="false">IF(T53&lt;&gt;0,((T231/T53)/T$1),0)</f>
        <v>0.0207354872549983</v>
      </c>
      <c r="U150" s="142" t="n">
        <f aca="false">IF(U53&lt;&gt;0,((U231/U53)/U$1),0)</f>
        <v>0.0227104631257306</v>
      </c>
    </row>
    <row r="151" customFormat="false" ht="12.75" hidden="false" customHeight="false" outlineLevel="0" collapsed="false">
      <c r="A151" s="95" t="s">
        <v>18</v>
      </c>
      <c r="B151" s="141" t="n">
        <f aca="false">IF(B54&lt;&gt;0,((B232/B54)/B$1),0)</f>
        <v>0.00963380784777398</v>
      </c>
      <c r="C151" s="141" t="n">
        <f aca="false">IF(C54&lt;&gt;0,((C232/C54)/C$1),0)</f>
        <v>0.00936841868587318</v>
      </c>
      <c r="D151" s="141" t="n">
        <f aca="false">IF(D54&lt;&gt;0,((D232/D54)/D$1),0)</f>
        <v>0.00968409804314433</v>
      </c>
      <c r="E151" s="141" t="n">
        <f aca="false">IF(E54&lt;&gt;0,((E232/E54)/E$1),0)</f>
        <v>0.00955898813521379</v>
      </c>
      <c r="F151" s="141" t="n">
        <f aca="false">IF(F54&lt;&gt;0,((F232/F54)/F$1),0)</f>
        <v>0.0101744340737114</v>
      </c>
      <c r="G151" s="141" t="n">
        <f aca="false">IF(G54&lt;&gt;0,((G232/G54)/G$1),0)</f>
        <v>0.0101133786848073</v>
      </c>
      <c r="H151" s="141" t="n">
        <f aca="false">IF(H54&lt;&gt;0,((H232/H54)/H$1),0)</f>
        <v>0.010083796347649</v>
      </c>
      <c r="I151" s="141" t="n">
        <f aca="false">IF(I54&lt;&gt;0,((I232/I54)/I$1),0)</f>
        <v>0.0104993700377977</v>
      </c>
      <c r="J151" s="141" t="n">
        <f aca="false">IF(J54&lt;&gt;0,((J232/J54)/J$1),0)</f>
        <v>0.00974887467424781</v>
      </c>
      <c r="K151" s="141" t="n">
        <f aca="false">IF(K54&lt;&gt;0,((K232/K54)/K$1),0)</f>
        <v>0.0093</v>
      </c>
      <c r="L151" s="141" t="n">
        <f aca="false">IF(L54&lt;&gt;0,((L232/L54)/L$1),0)</f>
        <v>0.0093</v>
      </c>
      <c r="M151" s="141" t="n">
        <f aca="false">IF(M54&lt;&gt;0,((M232/M54)/M$1),0)</f>
        <v>0.0093</v>
      </c>
      <c r="N151" s="142" t="n">
        <f aca="false">IF(N54&lt;&gt;0,((N232/N54)/N$1),0)</f>
        <v>0.00977029138372966</v>
      </c>
      <c r="O151" s="142"/>
      <c r="P151" s="142" t="n">
        <f aca="false">IF(P54&lt;&gt;0,((P232/P54)/P$1),0)</f>
        <v>0.0298615229892468</v>
      </c>
      <c r="Q151" s="143" t="e">
        <f aca="false">IF(#REF!=0,0,#REF!/#REF!)</f>
        <v>#REF!</v>
      </c>
      <c r="R151" s="143" t="e">
        <f aca="false">IF(#REF!=0,0,#REF!/#REF!)</f>
        <v>#REF!</v>
      </c>
      <c r="S151" s="143" t="e">
        <f aca="false">IF(#REF!=0,0,#REF!/#REF!)</f>
        <v>#REF!</v>
      </c>
      <c r="T151" s="142" t="n">
        <f aca="false">IF(T54&lt;&gt;0,((T232/T54)/T$1),0)</f>
        <v>0.00926781864517064</v>
      </c>
      <c r="U151" s="142" t="n">
        <f aca="false">IF(U54&lt;&gt;0,((U232/U54)/U$1),0)</f>
        <v>0.00926781864517064</v>
      </c>
    </row>
    <row r="152" customFormat="false" ht="12.75" hidden="false" customHeight="false" outlineLevel="0" collapsed="false">
      <c r="A152" s="95" t="s">
        <v>20</v>
      </c>
      <c r="B152" s="141" t="n">
        <f aca="false">IF(B55&lt;&gt;0,((B233/B55)/B$1),0)</f>
        <v>0</v>
      </c>
      <c r="C152" s="141" t="n">
        <f aca="false">IF(C55&lt;&gt;0,((C233/C55)/C$1),0)</f>
        <v>0</v>
      </c>
      <c r="D152" s="141" t="n">
        <f aca="false">IF(D55&lt;&gt;0,((D233/D55)/D$1),0)</f>
        <v>0</v>
      </c>
      <c r="E152" s="141" t="n">
        <f aca="false">IF(E55&lt;&gt;0,((E233/E55)/E$1),0)</f>
        <v>0</v>
      </c>
      <c r="F152" s="141" t="n">
        <f aca="false">IF(F55&lt;&gt;0,((F233/F55)/F$1),0)</f>
        <v>0</v>
      </c>
      <c r="G152" s="141" t="n">
        <f aca="false">IF(G55&lt;&gt;0,((G233/G55)/G$1),0)</f>
        <v>0</v>
      </c>
      <c r="H152" s="141" t="n">
        <f aca="false">IF(H55&lt;&gt;0,((H233/H55)/H$1),0)</f>
        <v>0</v>
      </c>
      <c r="I152" s="141" t="n">
        <f aca="false">IF(I55&lt;&gt;0,((I233/I55)/I$1),0)</f>
        <v>0</v>
      </c>
      <c r="J152" s="141" t="n">
        <f aca="false">IF(J55&lt;&gt;0,((J233/J55)/J$1),0)</f>
        <v>0</v>
      </c>
      <c r="K152" s="141" t="n">
        <f aca="false">IF(K55&lt;&gt;0,((K233/K55)/K$1),0)</f>
        <v>0</v>
      </c>
      <c r="L152" s="141" t="n">
        <f aca="false">IF(L55&lt;&gt;0,((L233/L55)/L$1),0)</f>
        <v>0</v>
      </c>
      <c r="M152" s="141" t="n">
        <f aca="false">IF(M55&lt;&gt;0,((M233/M55)/M$1),0)</f>
        <v>0</v>
      </c>
      <c r="N152" s="142" t="n">
        <f aca="false">IF(N55&lt;&gt;0,((N233/N55)/N$1),0)</f>
        <v>0</v>
      </c>
      <c r="O152" s="142"/>
      <c r="P152" s="142" t="n">
        <f aca="false">IF(P55&lt;&gt;0,((P233/P55)/P$1),0)</f>
        <v>0</v>
      </c>
      <c r="Q152" s="143" t="e">
        <f aca="false">IF(#REF!=0,0,#REF!/#REF!)</f>
        <v>#REF!</v>
      </c>
      <c r="R152" s="143" t="e">
        <f aca="false">IF(#REF!=0,0,#REF!/#REF!)</f>
        <v>#REF!</v>
      </c>
      <c r="S152" s="143" t="e">
        <f aca="false">IF(#REF!=0,0,#REF!/#REF!)</f>
        <v>#REF!</v>
      </c>
      <c r="T152" s="142" t="n">
        <f aca="false">IF(T55&lt;&gt;0,((T233/T55)/T$1),0)</f>
        <v>0</v>
      </c>
      <c r="U152" s="142" t="n">
        <f aca="false">IF(U55&lt;&gt;0,((U233/U55)/U$1),0)</f>
        <v>0</v>
      </c>
    </row>
    <row r="153" customFormat="false" ht="12.75" hidden="false" customHeight="false" outlineLevel="0" collapsed="false">
      <c r="A153" s="95" t="s">
        <v>22</v>
      </c>
      <c r="B153" s="141" t="n">
        <f aca="false">IF(B57&lt;&gt;0,((B235/B57)/B$1),0)</f>
        <v>0.0757950094816642</v>
      </c>
      <c r="C153" s="141" t="n">
        <f aca="false">IF(C57&lt;&gt;0,((C235/C57)/C$1),0)</f>
        <v>0.0803858520900321</v>
      </c>
      <c r="D153" s="141" t="n">
        <f aca="false">IF(D57&lt;&gt;0,((D235/D57)/D$1),0)</f>
        <v>0.0652369796359705</v>
      </c>
      <c r="E153" s="141" t="n">
        <f aca="false">IF(E57&lt;&gt;0,((E235/E57)/E$1),0)</f>
        <v>0.0712909441233141</v>
      </c>
      <c r="F153" s="141" t="n">
        <f aca="false">IF(F57&lt;&gt;0,((F235/F57)/F$1),0)</f>
        <v>0.067433943913114</v>
      </c>
      <c r="G153" s="141" t="n">
        <f aca="false">IF(G57&lt;&gt;0,((G235/G57)/G$1),0)</f>
        <v>0.0526388888888889</v>
      </c>
      <c r="H153" s="141" t="n">
        <f aca="false">IF(H57&lt;&gt;0,((H235/H57)/H$1),0)</f>
        <v>0.0490409764603313</v>
      </c>
      <c r="I153" s="141" t="n">
        <f aca="false">IF(I57&lt;&gt;0,((I235/I57)/I$1),0)</f>
        <v>0.0552995391705069</v>
      </c>
      <c r="J153" s="141" t="n">
        <f aca="false">IF(J57&lt;&gt;0,((J235/J57)/J$1),0)</f>
        <v>0.10464135021097</v>
      </c>
      <c r="K153" s="141" t="n">
        <f aca="false">IF(K57&lt;&gt;0,((K235/K57)/K$1),0)</f>
        <v>0.0312</v>
      </c>
      <c r="L153" s="141" t="n">
        <f aca="false">IF(L57&lt;&gt;0,((L235/L57)/L$1),0)</f>
        <v>0.0427</v>
      </c>
      <c r="M153" s="141" t="n">
        <f aca="false">IF(M57&lt;&gt;0,((M235/M57)/M$1),0)</f>
        <v>0.0491</v>
      </c>
      <c r="N153" s="142" t="n">
        <f aca="false">IF(N57&lt;&gt;0,((N235/N57)/N$1),0)</f>
        <v>0.063476898096852</v>
      </c>
      <c r="O153" s="142"/>
      <c r="P153" s="142" t="n">
        <f aca="false">IF(P57&lt;&gt;0,((P235/P57)/P$1),0)</f>
        <v>0.196666590194774</v>
      </c>
      <c r="Q153" s="143" t="e">
        <f aca="false">IF(#REF!=0,0,#REF!/#REF!)</f>
        <v>#REF!</v>
      </c>
      <c r="R153" s="143" t="e">
        <f aca="false">IF(#REF!=0,0,#REF!/#REF!)</f>
        <v>#REF!</v>
      </c>
      <c r="S153" s="143" t="e">
        <f aca="false">IF(#REF!=0,0,#REF!/#REF!)</f>
        <v>#REF!</v>
      </c>
      <c r="T153" s="142" t="n">
        <f aca="false">IF(T57&lt;&gt;0,((T235/T57)/T$1),0)</f>
        <v>0.0456779122487444</v>
      </c>
      <c r="U153" s="142" t="n">
        <f aca="false">IF(U57&lt;&gt;0,((U235/U57)/U$1),0)</f>
        <v>0.0456779122487444</v>
      </c>
    </row>
    <row r="154" customFormat="false" ht="12.75" hidden="false" customHeight="false" outlineLevel="0" collapsed="false">
      <c r="A154" s="95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94"/>
      <c r="R154" s="94"/>
      <c r="S154" s="94"/>
      <c r="T154" s="56"/>
      <c r="U154" s="56"/>
    </row>
    <row r="155" customFormat="false" ht="12.75" hidden="false" customHeight="false" outlineLevel="0" collapsed="false">
      <c r="A155" s="92" t="s">
        <v>138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93"/>
      <c r="R155" s="93"/>
      <c r="S155" s="93"/>
      <c r="T155" s="103"/>
      <c r="U155" s="103"/>
    </row>
    <row r="156" customFormat="false" ht="12.75" hidden="false" customHeight="false" outlineLevel="0" collapsed="false">
      <c r="A156" s="95" t="s">
        <v>14</v>
      </c>
      <c r="B156" s="141" t="n">
        <f aca="false">IF(B61&lt;&gt;0,((B239/B61)/B$1),0)</f>
        <v>0.207258064516129</v>
      </c>
      <c r="C156" s="141" t="n">
        <f aca="false">IF(C61&lt;&gt;0,((C239/C61)/C$1),0)</f>
        <v>0.20625</v>
      </c>
      <c r="D156" s="141" t="n">
        <f aca="false">IF(D61&lt;&gt;0,((D239/D61)/D$1),0)</f>
        <v>0.207016129032258</v>
      </c>
      <c r="E156" s="141" t="n">
        <f aca="false">IF(E61&lt;&gt;0,((E239/E61)/E$1),0)</f>
        <v>0.206083333333333</v>
      </c>
      <c r="F156" s="141" t="n">
        <f aca="false">IF(F61&lt;&gt;0,((F239/F61)/F$1),0)</f>
        <v>0.206612903225806</v>
      </c>
      <c r="G156" s="141" t="n">
        <f aca="false">IF(G61&lt;&gt;0,((G239/G61)/G$1),0)</f>
        <v>0.206916666666667</v>
      </c>
      <c r="H156" s="141" t="n">
        <f aca="false">IF(H61&lt;&gt;0,((H239/H61)/H$1),0)</f>
        <v>0.207258064516129</v>
      </c>
      <c r="I156" s="141" t="n">
        <f aca="false">IF(I61&lt;&gt;0,((I239/I61)/I$1),0)</f>
        <v>0.207016129032258</v>
      </c>
      <c r="J156" s="141" t="n">
        <f aca="false">IF(J61&lt;&gt;0,((J239/J61)/J$1),0)</f>
        <v>0.198916666666667</v>
      </c>
      <c r="K156" s="141" t="n">
        <f aca="false">IF(K61&lt;&gt;0,((K239/K61)/K$1),0)</f>
        <v>0.204</v>
      </c>
      <c r="L156" s="141" t="n">
        <f aca="false">IF(L61&lt;&gt;0,((L239/L61)/L$1),0)</f>
        <v>0.204</v>
      </c>
      <c r="M156" s="141" t="n">
        <f aca="false">IF(M61&lt;&gt;0,((M239/M61)/M$1),0)</f>
        <v>0.204</v>
      </c>
      <c r="N156" s="142" t="n">
        <f aca="false">IF(N61&lt;&gt;0,((N239/N61)/N$1),0)</f>
        <v>0.205453424657534</v>
      </c>
      <c r="O156" s="142"/>
      <c r="P156" s="142" t="n">
        <f aca="false">IF(P61&lt;&gt;0,((P239/P61)/P$1),0)</f>
        <v>0.619615384615385</v>
      </c>
      <c r="Q156" s="143"/>
      <c r="R156" s="143"/>
      <c r="S156" s="143"/>
      <c r="T156" s="142" t="n">
        <f aca="false">IF(T61&lt;&gt;0,((T239/T61)/T$1),0)</f>
        <v>0.204</v>
      </c>
      <c r="U156" s="142" t="n">
        <f aca="false">IF(U61&lt;&gt;0,((U239/U61)/U$1),0)</f>
        <v>0.204</v>
      </c>
    </row>
    <row r="157" customFormat="false" ht="12.75" hidden="false" customHeight="false" outlineLevel="0" collapsed="false">
      <c r="A157" s="95" t="s">
        <v>18</v>
      </c>
      <c r="B157" s="141" t="n">
        <f aca="false">IF(B62&lt;&gt;0,((B240/B62)/B$1),0)</f>
        <v>0.0115255396353703</v>
      </c>
      <c r="C157" s="141" t="n">
        <f aca="false">IF(C62&lt;&gt;0,((C240/C62)/C$1),0)</f>
        <v>0.0169631831073837</v>
      </c>
      <c r="D157" s="141" t="n">
        <f aca="false">IF(D62&lt;&gt;0,((D240/D62)/D$1),0)</f>
        <v>0.0117796303008336</v>
      </c>
      <c r="E157" s="141" t="n">
        <f aca="false">IF(E62&lt;&gt;0,((E240/E62)/E$1),0)</f>
        <v>0.0110745614035088</v>
      </c>
      <c r="F157" s="141" t="n">
        <f aca="false">IF(F62&lt;&gt;0,((F240/F62)/F$1),0)</f>
        <v>0.0108072703455052</v>
      </c>
      <c r="G157" s="141" t="n">
        <f aca="false">IF(G62&lt;&gt;0,((G240/G62)/G$1),0)</f>
        <v>0.010952380952381</v>
      </c>
      <c r="H157" s="141" t="n">
        <f aca="false">IF(H62&lt;&gt;0,((H240/H62)/H$1),0)</f>
        <v>0.0118533570400474</v>
      </c>
      <c r="I157" s="141" t="n">
        <f aca="false">IF(I62&lt;&gt;0,((I240/I62)/I$1),0)</f>
        <v>0.0121863799283154</v>
      </c>
      <c r="J157" s="141" t="n">
        <f aca="false">IF(J62&lt;&gt;0,((J240/J62)/J$1),0)</f>
        <v>0.0103632478632479</v>
      </c>
      <c r="K157" s="141" t="n">
        <f aca="false">IF(K62&lt;&gt;0,((K240/K62)/K$1),0)</f>
        <v>0.01416</v>
      </c>
      <c r="L157" s="141" t="n">
        <f aca="false">IF(L62&lt;&gt;0,((L240/L62)/L$1),0)</f>
        <v>0.01416</v>
      </c>
      <c r="M157" s="141" t="n">
        <f aca="false">IF(M62&lt;&gt;0,((M240/M62)/M$1),0)</f>
        <v>0.01416</v>
      </c>
      <c r="N157" s="142" t="n">
        <f aca="false">IF(N62&lt;&gt;0,((N240/N62)/N$1),0)</f>
        <v>0.0122541921436995</v>
      </c>
      <c r="O157" s="142"/>
      <c r="P157" s="142" t="n">
        <f aca="false">IF(P62&lt;&gt;0,((P240/P62)/P$1),0)</f>
        <v>0.0328279315621088</v>
      </c>
      <c r="Q157" s="143"/>
      <c r="R157" s="143"/>
      <c r="S157" s="143"/>
      <c r="T157" s="142" t="n">
        <f aca="false">IF(T62&lt;&gt;0,((T240/T62)/T$1),0)</f>
        <v>0.0141382750684932</v>
      </c>
      <c r="U157" s="142" t="n">
        <f aca="false">IF(U62&lt;&gt;0,((U240/U62)/U$1),0)</f>
        <v>0.0141382750684932</v>
      </c>
    </row>
    <row r="158" customFormat="false" ht="12.75" hidden="false" customHeight="false" outlineLevel="0" collapsed="false">
      <c r="A158" s="95" t="s">
        <v>20</v>
      </c>
      <c r="B158" s="141" t="n">
        <f aca="false">IF(B63&lt;&gt;0,((B241/B63)/B$1),0)</f>
        <v>0</v>
      </c>
      <c r="C158" s="141" t="n">
        <f aca="false">IF(C63&lt;&gt;0,((C241/C63)/C$1),0)</f>
        <v>0</v>
      </c>
      <c r="D158" s="141" t="n">
        <f aca="false">IF(D63&lt;&gt;0,((D241/D63)/D$1),0)</f>
        <v>0</v>
      </c>
      <c r="E158" s="141" t="n">
        <f aca="false">IF(E63&lt;&gt;0,((E241/E63)/E$1),0)</f>
        <v>0</v>
      </c>
      <c r="F158" s="141" t="n">
        <f aca="false">IF(F63&lt;&gt;0,((F241/F63)/F$1),0)</f>
        <v>0</v>
      </c>
      <c r="G158" s="141" t="n">
        <f aca="false">IF(G63&lt;&gt;0,((G241/G63)/G$1),0)</f>
        <v>0</v>
      </c>
      <c r="H158" s="141" t="n">
        <f aca="false">IF(H63&lt;&gt;0,((H241/H63)/H$1),0)</f>
        <v>0</v>
      </c>
      <c r="I158" s="141" t="n">
        <f aca="false">IF(I63&lt;&gt;0,((I241/I63)/I$1),0)</f>
        <v>0</v>
      </c>
      <c r="J158" s="141" t="n">
        <f aca="false">IF(J63&lt;&gt;0,((J241/J63)/J$1),0)</f>
        <v>0</v>
      </c>
      <c r="K158" s="141" t="n">
        <f aca="false">IF(K63&lt;&gt;0,((K241/K63)/K$1),0)</f>
        <v>0</v>
      </c>
      <c r="L158" s="141" t="n">
        <f aca="false">IF(L63&lt;&gt;0,((L241/L63)/L$1),0)</f>
        <v>0</v>
      </c>
      <c r="M158" s="141" t="n">
        <f aca="false">IF(M63&lt;&gt;0,((M241/M63)/M$1),0)</f>
        <v>0</v>
      </c>
      <c r="N158" s="142" t="n">
        <f aca="false">IF(N63&lt;&gt;0,((N241/N63)/N$1),0)</f>
        <v>0</v>
      </c>
      <c r="O158" s="142"/>
      <c r="P158" s="142" t="n">
        <f aca="false">IF(P63&lt;&gt;0,((P241/P63)/P$1),0)</f>
        <v>0</v>
      </c>
      <c r="Q158" s="143"/>
      <c r="R158" s="143"/>
      <c r="S158" s="143"/>
      <c r="T158" s="142" t="n">
        <f aca="false">IF(T63&lt;&gt;0,((T241/T63)/T$1),0)</f>
        <v>0</v>
      </c>
      <c r="U158" s="142" t="n">
        <f aca="false">IF(U63&lt;&gt;0,((U241/U63)/U$1),0)</f>
        <v>0</v>
      </c>
    </row>
    <row r="159" customFormat="false" ht="12.75" hidden="false" customHeight="false" outlineLevel="0" collapsed="false">
      <c r="A159" s="95" t="s">
        <v>22</v>
      </c>
      <c r="B159" s="141" t="n">
        <f aca="false">IF(B64&lt;&gt;0,((B242/B64)/B$1),0)</f>
        <v>0.218205622431538</v>
      </c>
      <c r="C159" s="141" t="n">
        <f aca="false">IF(C64&lt;&gt;0,((C242/C64)/C$1),0)</f>
        <v>0.224184313995999</v>
      </c>
      <c r="D159" s="141" t="n">
        <f aca="false">IF(D64&lt;&gt;0,((D242/D64)/D$1),0)</f>
        <v>0.290322580645161</v>
      </c>
      <c r="E159" s="141" t="n">
        <f aca="false">IF(E64&lt;&gt;0,((E242/E64)/E$1),0)</f>
        <v>0</v>
      </c>
      <c r="F159" s="141" t="n">
        <f aca="false">IF(F64&lt;&gt;0,((F242/F64)/F$1),0)</f>
        <v>0.217921146953405</v>
      </c>
      <c r="G159" s="141" t="n">
        <f aca="false">IF(G64&lt;&gt;0,((G242/G64)/G$1),0)</f>
        <v>0.215217391304348</v>
      </c>
      <c r="H159" s="141" t="n">
        <f aca="false">IF(H64&lt;&gt;0,((H242/H64)/H$1),0)</f>
        <v>0.258064516129032</v>
      </c>
      <c r="I159" s="141" t="n">
        <f aca="false">IF(I64&lt;&gt;0,((I242/I64)/I$1),0)</f>
        <v>0.216589861751152</v>
      </c>
      <c r="J159" s="141" t="n">
        <f aca="false">IF(J64&lt;&gt;0,((J242/J64)/J$1),0)</f>
        <v>0</v>
      </c>
      <c r="K159" s="141" t="n">
        <f aca="false">IF(K64&lt;&gt;0,((K242/K64)/K$1),0)</f>
        <v>0</v>
      </c>
      <c r="L159" s="141" t="n">
        <f aca="false">IF(L64&lt;&gt;0,((L242/L64)/L$1),0)</f>
        <v>0</v>
      </c>
      <c r="M159" s="141" t="n">
        <f aca="false">IF(M64&lt;&gt;0,((M242/M64)/M$1),0)</f>
        <v>0</v>
      </c>
      <c r="N159" s="142" t="n">
        <f aca="false">IF(N64&lt;&gt;0,((N242/N64)/N$1),0)</f>
        <v>0.220319150965223</v>
      </c>
      <c r="O159" s="142"/>
      <c r="P159" s="142" t="n">
        <f aca="false">IF(P64&lt;&gt;0,((P242/P64)/P$1),0)</f>
        <v>0.653181982852313</v>
      </c>
      <c r="Q159" s="143"/>
      <c r="R159" s="143"/>
      <c r="S159" s="143"/>
      <c r="T159" s="142" t="n">
        <f aca="false">IF(T64&lt;&gt;0,((T242/T64)/T$1),0)</f>
        <v>0</v>
      </c>
      <c r="U159" s="142" t="n">
        <f aca="false">IF(U64&lt;&gt;0,((U242/U64)/U$1),0)</f>
        <v>0</v>
      </c>
    </row>
    <row r="160" customFormat="false" ht="12.75" hidden="false" customHeight="false" outlineLevel="0" collapsed="false">
      <c r="A160" s="95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94"/>
      <c r="R160" s="94"/>
      <c r="S160" s="94"/>
      <c r="T160" s="56"/>
      <c r="U160" s="56"/>
    </row>
    <row r="161" customFormat="false" ht="12.75" hidden="false" customHeight="false" outlineLevel="0" collapsed="false">
      <c r="A161" s="92" t="s">
        <v>43</v>
      </c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93"/>
      <c r="R161" s="93"/>
      <c r="S161" s="93"/>
      <c r="T161" s="103"/>
      <c r="U161" s="103"/>
    </row>
    <row r="162" customFormat="false" ht="12.75" hidden="false" customHeight="false" outlineLevel="0" collapsed="false">
      <c r="A162" s="95" t="s">
        <v>14</v>
      </c>
      <c r="B162" s="141" t="n">
        <f aca="false">IF(B68&lt;&gt;0,((B246/B68)/B$1),0)</f>
        <v>0.180351906158358</v>
      </c>
      <c r="C162" s="141" t="n">
        <f aca="false">IF(C68&lt;&gt;0,((C246/C68)/C$1),0)</f>
        <v>0.149642857142857</v>
      </c>
      <c r="D162" s="141" t="n">
        <f aca="false">IF(D68&lt;&gt;0,((D246/D68)/D$1),0)</f>
        <v>0.123258064516129</v>
      </c>
      <c r="E162" s="141" t="n">
        <f aca="false">IF(E68&lt;&gt;0,((E246/E68)/E$1),0)</f>
        <v>0.1432</v>
      </c>
      <c r="F162" s="141" t="n">
        <f aca="false">IF(F68&lt;&gt;0,((F246/F68)/F$1),0)</f>
        <v>0.149032258064516</v>
      </c>
      <c r="G162" s="141" t="n">
        <f aca="false">IF(G68&lt;&gt;0,((G246/G68)/G$1),0)</f>
        <v>0.1194</v>
      </c>
      <c r="H162" s="141" t="n">
        <f aca="false">IF(H68&lt;&gt;0,((H246/H68)/H$1),0)</f>
        <v>0.14741935483871</v>
      </c>
      <c r="I162" s="141" t="n">
        <f aca="false">IF(I68&lt;&gt;0,((I246/I68)/I$1),0)</f>
        <v>0.149451612903226</v>
      </c>
      <c r="J162" s="141" t="n">
        <f aca="false">IF(J68&lt;&gt;0,((J246/J68)/J$1),0)</f>
        <v>0.149066666666667</v>
      </c>
      <c r="K162" s="141" t="n">
        <f aca="false">IF(K68&lt;&gt;0,((K246/K68)/K$1),0)</f>
        <v>0.149496</v>
      </c>
      <c r="L162" s="141" t="n">
        <f aca="false">IF(L68&lt;&gt;0,((L246/L68)/L$1),0)</f>
        <v>0.149496</v>
      </c>
      <c r="M162" s="141" t="n">
        <f aca="false">IF(M68&lt;&gt;0,((M246/M68)/M$1),0)</f>
        <v>0.135224</v>
      </c>
      <c r="N162" s="142" t="n">
        <f aca="false">IF(N68&lt;&gt;0,((N246/N68)/N$1),0)</f>
        <v>0.145891961413607</v>
      </c>
      <c r="O162" s="142"/>
      <c r="P162" s="142" t="n">
        <f aca="false">IF(P68&lt;&gt;0,((P246/P68)/P$1),0)</f>
        <v>0.412021978021978</v>
      </c>
      <c r="Q162" s="143" t="e">
        <f aca="false">IF(#REF!=0,0,#REF!/#REF!)</f>
        <v>#REF!</v>
      </c>
      <c r="R162" s="143" t="e">
        <f aca="false">IF(#REF!=0,0,#REF!/#REF!)</f>
        <v>#REF!</v>
      </c>
      <c r="S162" s="143" t="e">
        <f aca="false">IF(#REF!=0,0,#REF!/#REF!)</f>
        <v>#REF!</v>
      </c>
      <c r="T162" s="142" t="n">
        <f aca="false">IF(T68&lt;&gt;0,((T246/T68)/T$1),0)</f>
        <v>0.148376333076387</v>
      </c>
      <c r="U162" s="142" t="n">
        <f aca="false">IF(U68&lt;&gt;0,((U246/U68)/U$1),0)</f>
        <v>0.148376333076387</v>
      </c>
    </row>
    <row r="163" customFormat="false" ht="12.75" hidden="false" customHeight="false" outlineLevel="0" collapsed="false">
      <c r="A163" s="95" t="s">
        <v>110</v>
      </c>
      <c r="B163" s="141" t="n">
        <f aca="false">IF(B69&lt;&gt;0,((B247/B69)/B$1),0)</f>
        <v>0.0110268901743792</v>
      </c>
      <c r="C163" s="141" t="n">
        <f aca="false">IF(C69&lt;&gt;0,((C247/C69)/C$1),0)</f>
        <v>0.0103510122348965</v>
      </c>
      <c r="D163" s="141" t="n">
        <f aca="false">IF(D69&lt;&gt;0,((D247/D69)/D$1),0)</f>
        <v>0.0107696215392431</v>
      </c>
      <c r="E163" s="141" t="n">
        <f aca="false">IF(E69&lt;&gt;0,((E247/E69)/E$1),0)</f>
        <v>0.0112225405921681</v>
      </c>
      <c r="F163" s="141" t="n">
        <f aca="false">IF(F69&lt;&gt;0,((F247/F69)/F$1),0)</f>
        <v>0.011322367015595</v>
      </c>
      <c r="G163" s="141" t="n">
        <f aca="false">IF(G69&lt;&gt;0,((G247/G69)/G$1),0)</f>
        <v>0.0116727941176471</v>
      </c>
      <c r="H163" s="141" t="n">
        <f aca="false">IF(H69&lt;&gt;0,((H247/H69)/H$1),0)</f>
        <v>0.0116129032258065</v>
      </c>
      <c r="I163" s="141" t="n">
        <f aca="false">IF(I69&lt;&gt;0,((I247/I69)/I$1),0)</f>
        <v>0.0117746828011351</v>
      </c>
      <c r="J163" s="141" t="n">
        <f aca="false">IF(J69&lt;&gt;0,((J247/J69)/J$1),0)</f>
        <v>0.0117416829745597</v>
      </c>
      <c r="K163" s="141" t="n">
        <f aca="false">IF(K69&lt;&gt;0,((K247/K69)/K$1),0)</f>
        <v>0.01216</v>
      </c>
      <c r="L163" s="141" t="n">
        <f aca="false">IF(L69&lt;&gt;0,((L247/L69)/L$1),0)</f>
        <v>0.01216</v>
      </c>
      <c r="M163" s="141" t="n">
        <f aca="false">IF(M69&lt;&gt;0,((M247/M69)/M$1),0)</f>
        <v>0.0104</v>
      </c>
      <c r="N163" s="142" t="n">
        <f aca="false">IF(N69&lt;&gt;0,((N247/N69)/N$1),0)</f>
        <v>0.011410072363379</v>
      </c>
      <c r="O163" s="142"/>
      <c r="P163" s="142" t="n">
        <f aca="false">IF(P69&lt;&gt;0,((P247/P69)/P$1),0)</f>
        <v>0.0341546319336135</v>
      </c>
      <c r="Q163" s="143" t="e">
        <f aca="false">IF(#REF!=0,0,#REF!/#REF!)</f>
        <v>#REF!</v>
      </c>
      <c r="R163" s="143" t="e">
        <f aca="false">IF(#REF!=0,0,#REF!/#REF!)</f>
        <v>#REF!</v>
      </c>
      <c r="S163" s="143" t="e">
        <f aca="false">IF(#REF!=0,0,#REF!/#REF!)</f>
        <v>#REF!</v>
      </c>
      <c r="T163" s="142" t="n">
        <f aca="false">IF(T69&lt;&gt;0,((T247/T69)/T$1),0)</f>
        <v>0.0120339886496028</v>
      </c>
      <c r="U163" s="142" t="n">
        <f aca="false">IF(U69&lt;&gt;0,((U247/U69)/U$1),0)</f>
        <v>0.0120339886496028</v>
      </c>
    </row>
    <row r="164" customFormat="false" ht="12.75" hidden="false" customHeight="false" outlineLevel="0" collapsed="false">
      <c r="A164" s="95" t="s">
        <v>111</v>
      </c>
      <c r="B164" s="141" t="n">
        <f aca="false">IF(B70&lt;&gt;0,((B248/B70)/B$1),0)</f>
        <v>0</v>
      </c>
      <c r="C164" s="141" t="n">
        <f aca="false">IF(C70&lt;&gt;0,((C248/C70)/C$1),0)</f>
        <v>0</v>
      </c>
      <c r="D164" s="141" t="n">
        <f aca="false">IF(D70&lt;&gt;0,((D248/D70)/D$1),0)</f>
        <v>0</v>
      </c>
      <c r="E164" s="141" t="n">
        <f aca="false">IF(E70&lt;&gt;0,((E248/E70)/E$1),0)</f>
        <v>0</v>
      </c>
      <c r="F164" s="141" t="n">
        <f aca="false">IF(F70&lt;&gt;0,((F248/F70)/F$1),0)</f>
        <v>0</v>
      </c>
      <c r="G164" s="141" t="n">
        <f aca="false">IF(G70&lt;&gt;0,((G248/G70)/G$1),0)</f>
        <v>0</v>
      </c>
      <c r="H164" s="141" t="n">
        <f aca="false">IF(H70&lt;&gt;0,((H248/H70)/H$1),0)</f>
        <v>0</v>
      </c>
      <c r="I164" s="141" t="n">
        <f aca="false">IF(I70&lt;&gt;0,((I248/I70)/I$1),0)</f>
        <v>0</v>
      </c>
      <c r="J164" s="141" t="n">
        <f aca="false">IF(J70&lt;&gt;0,((J248/J70)/J$1),0)</f>
        <v>0</v>
      </c>
      <c r="K164" s="141" t="n">
        <f aca="false">IF(K70&lt;&gt;0,((K248/K70)/K$1),0)</f>
        <v>0</v>
      </c>
      <c r="L164" s="141" t="n">
        <f aca="false">IF(L70&lt;&gt;0,((L248/L70)/L$1),0)</f>
        <v>0</v>
      </c>
      <c r="M164" s="141" t="n">
        <f aca="false">IF(M70&lt;&gt;0,((M248/M70)/M$1),0)</f>
        <v>0</v>
      </c>
      <c r="N164" s="142" t="n">
        <f aca="false">IF(N70&lt;&gt;0,((N248/N70)/N$1),0)</f>
        <v>0</v>
      </c>
      <c r="O164" s="142"/>
      <c r="P164" s="142" t="n">
        <f aca="false">IF(P70&lt;&gt;0,((P248/P70)/P$1),0)</f>
        <v>0</v>
      </c>
      <c r="Q164" s="143" t="e">
        <f aca="false">IF(#REF!=0,0,#REF!/#REF!)</f>
        <v>#REF!</v>
      </c>
      <c r="R164" s="143" t="e">
        <f aca="false">IF(#REF!=0,0,#REF!/#REF!)</f>
        <v>#REF!</v>
      </c>
      <c r="S164" s="143" t="e">
        <f aca="false">IF(#REF!=0,0,#REF!/#REF!)</f>
        <v>#REF!</v>
      </c>
      <c r="T164" s="142" t="n">
        <f aca="false">IF(T70&lt;&gt;0,((T248/T70)/T$1),0)</f>
        <v>0</v>
      </c>
      <c r="U164" s="142" t="n">
        <f aca="false">IF(U70&lt;&gt;0,((U248/U70)/U$1),0)</f>
        <v>0</v>
      </c>
    </row>
    <row r="165" customFormat="false" ht="12.75" hidden="false" customHeight="false" outlineLevel="0" collapsed="false">
      <c r="A165" s="95" t="s">
        <v>114</v>
      </c>
      <c r="B165" s="141" t="n">
        <f aca="false">IF(B71&lt;&gt;0,((B249/B71)/B$1),0)</f>
        <v>0.285301278149726</v>
      </c>
      <c r="C165" s="141" t="n">
        <f aca="false">IF(C71&lt;&gt;0,((C249/C71)/C$1),0)</f>
        <v>0.212815353660424</v>
      </c>
      <c r="D165" s="141" t="n">
        <f aca="false">IF(D71&lt;&gt;0,((D249/D71)/D$1),0)</f>
        <v>0.215344376634699</v>
      </c>
      <c r="E165" s="141" t="n">
        <f aca="false">IF(E71&lt;&gt;0,((E249/E71)/E$1),0)</f>
        <v>0.216666666666667</v>
      </c>
      <c r="F165" s="141" t="n">
        <f aca="false">IF(F71&lt;&gt;0,((F249/F71)/F$1),0)</f>
        <v>0.219864176570458</v>
      </c>
      <c r="G165" s="141" t="n">
        <f aca="false">IF(G71&lt;&gt;0,((G249/G71)/G$1),0)</f>
        <v>0.214814814814815</v>
      </c>
      <c r="H165" s="141" t="n">
        <f aca="false">IF(H71&lt;&gt;0,((H249/H71)/H$1),0)</f>
        <v>0.201612903225806</v>
      </c>
      <c r="I165" s="141" t="n">
        <f aca="false">IF(I71&lt;&gt;0,((I249/I71)/I$1),0)</f>
        <v>0.258064516129032</v>
      </c>
      <c r="J165" s="141" t="n">
        <f aca="false">IF(J71&lt;&gt;0,((J249/J71)/J$1),0)</f>
        <v>0</v>
      </c>
      <c r="K165" s="141" t="n">
        <f aca="false">IF(K71&lt;&gt;0,((K249/K71)/K$1),0)</f>
        <v>0.05</v>
      </c>
      <c r="L165" s="141" t="n">
        <f aca="false">IF(L71&lt;&gt;0,((L249/L71)/L$1),0)</f>
        <v>0.0516</v>
      </c>
      <c r="M165" s="141" t="n">
        <f aca="false">IF(M71&lt;&gt;0,((M249/M71)/M$1),0)</f>
        <v>0.0533</v>
      </c>
      <c r="N165" s="142" t="n">
        <f aca="false">IF(N71&lt;&gt;0,((N249/N71)/N$1),0)</f>
        <v>0.119991405495763</v>
      </c>
      <c r="O165" s="142"/>
      <c r="P165" s="142" t="n">
        <f aca="false">IF(P71&lt;&gt;0,((P249/P71)/P$1),0)</f>
        <v>0.652930402930403</v>
      </c>
      <c r="Q165" s="143" t="e">
        <f aca="false">(#REF!+#REF!)/#REF!</f>
        <v>#REF!</v>
      </c>
      <c r="R165" s="143" t="e">
        <f aca="false">(#REF!+#REF!)/#REF!</f>
        <v>#REF!</v>
      </c>
      <c r="S165" s="143" t="e">
        <f aca="false">(#REF!+#REF!)/#REF!</f>
        <v>#REF!</v>
      </c>
      <c r="T165" s="142" t="n">
        <f aca="false">IF(T71&lt;&gt;0,((T249/T71)/T$1),0)</f>
        <v>0.0561732843940486</v>
      </c>
      <c r="U165" s="142" t="n">
        <f aca="false">IF(U71&lt;&gt;0,((U249/U71)/U$1),0)</f>
        <v>0.0561732843940486</v>
      </c>
    </row>
    <row r="166" customFormat="false" ht="12.75" hidden="false" customHeight="false" outlineLevel="0" collapsed="false">
      <c r="A166" s="95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94"/>
      <c r="R166" s="94"/>
      <c r="S166" s="94"/>
      <c r="T166" s="56"/>
      <c r="U166" s="56"/>
    </row>
    <row r="167" customFormat="false" ht="12.75" hidden="false" customHeight="false" outlineLevel="0" collapsed="false">
      <c r="A167" s="92" t="s">
        <v>49</v>
      </c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93"/>
      <c r="R167" s="93"/>
      <c r="S167" s="93"/>
      <c r="T167" s="103"/>
      <c r="U167" s="103"/>
    </row>
    <row r="168" customFormat="false" ht="12.75" hidden="false" customHeight="false" outlineLevel="0" collapsed="false">
      <c r="A168" s="95" t="s">
        <v>14</v>
      </c>
      <c r="B168" s="141" t="n">
        <f aca="false">IF(B78&lt;&gt;0,((B257/B78)/B$1),0)</f>
        <v>0.0502707793736755</v>
      </c>
      <c r="C168" s="141" t="n">
        <f aca="false">IF(C78&lt;&gt;0,((C257/C78)/C$1),0)</f>
        <v>0.0405370177267988</v>
      </c>
      <c r="D168" s="141" t="n">
        <f aca="false">IF(D78&lt;&gt;0,((D257/D78)/D$1),0)</f>
        <v>0.0456557570049447</v>
      </c>
      <c r="E168" s="141" t="n">
        <f aca="false">IF(E78&lt;&gt;0,((E257/E78)/E$1),0)</f>
        <v>0.045669099756691</v>
      </c>
      <c r="F168" s="141" t="n">
        <f aca="false">IF(F78&lt;&gt;0,((F257/F78)/F$1),0)</f>
        <v>0.045691076053685</v>
      </c>
      <c r="G168" s="141" t="n">
        <f aca="false">IF(G78&lt;&gt;0,((G257/G78)/G$1),0)</f>
        <v>0.0457907542579075</v>
      </c>
      <c r="H168" s="141" t="n">
        <f aca="false">IF(H78&lt;&gt;0,((H257/H78)/H$1),0)</f>
        <v>0.0434816196351517</v>
      </c>
      <c r="I168" s="141" t="n">
        <f aca="false">IF(I78&lt;&gt;0,((I257/I78)/I$1),0)</f>
        <v>0.0412082151567656</v>
      </c>
      <c r="J168" s="141" t="n">
        <f aca="false">IF(J78&lt;&gt;0,((J257/J78)/J$1),0)</f>
        <v>0.0486043829296424</v>
      </c>
      <c r="K168" s="141" t="n">
        <f aca="false">IF(K78&lt;&gt;0,((K257/K78)/K$1),0)</f>
        <v>0.0452010569343066</v>
      </c>
      <c r="L168" s="141" t="n">
        <f aca="false">IF(L78&lt;&gt;0,((L257/L78)/L$1),0)</f>
        <v>0.0473866832116788</v>
      </c>
      <c r="M168" s="141" t="n">
        <f aca="false">IF(M78&lt;&gt;0,((M257/M78)/M$1),0)</f>
        <v>0.0476488204379562</v>
      </c>
      <c r="N168" s="142" t="n">
        <f aca="false">IF(N78&lt;&gt;0,((N257/N78)/N$1),0)</f>
        <v>0.04560649928775</v>
      </c>
      <c r="O168" s="142"/>
      <c r="P168" s="142" t="n">
        <f aca="false">IF(P78&lt;&gt;0,((P257/P78)/P$1),0)</f>
        <v>0.137150076201171</v>
      </c>
      <c r="Q168" s="143" t="e">
        <f aca="false">(#REF!+#REF!)/(#REF!+#REF!)</f>
        <v>#REF!</v>
      </c>
      <c r="R168" s="143" t="e">
        <f aca="false">(#REF!+#REF!)/(#REF!+#REF!)</f>
        <v>#REF!</v>
      </c>
      <c r="S168" s="143" t="e">
        <f aca="false">(#REF!+#REF!)/(#REF!+#REF!)</f>
        <v>#REF!</v>
      </c>
      <c r="T168" s="142" t="n">
        <f aca="false">IF(T78&lt;&gt;0,((T257/T78)/T$1),0)</f>
        <v>0.045275195171702</v>
      </c>
      <c r="U168" s="142" t="n">
        <f aca="false">IF(U78&lt;&gt;0,((U257/U78)/U$1),0)</f>
        <v>0.045275195171702</v>
      </c>
    </row>
    <row r="169" customFormat="false" ht="12.75" hidden="false" customHeight="false" outlineLevel="0" collapsed="false">
      <c r="A169" s="95" t="s">
        <v>110</v>
      </c>
      <c r="B169" s="141" t="n">
        <f aca="false">IF(B79&lt;&gt;0,((B258/B79)/B$1),0)</f>
        <v>0.00108396310460583</v>
      </c>
      <c r="C169" s="141" t="n">
        <f aca="false">IF(C79&lt;&gt;0,((C258/C79)/C$1),0)</f>
        <v>0.00117105137578043</v>
      </c>
      <c r="D169" s="141" t="n">
        <f aca="false">IF(D79&lt;&gt;0,((D258/D79)/D$1),0)</f>
        <v>0.00109530488212115</v>
      </c>
      <c r="E169" s="141" t="n">
        <f aca="false">IF(E79&lt;&gt;0,((E258/E79)/E$1),0)</f>
        <v>0.00109850531244372</v>
      </c>
      <c r="F169" s="141" t="n">
        <f aca="false">IF(F79&lt;&gt;0,((F258/F79)/F$1),0)</f>
        <v>0.00109689778766531</v>
      </c>
      <c r="G169" s="141" t="n">
        <f aca="false">IF(G79&lt;&gt;0,((G258/G79)/G$1),0)</f>
        <v>0.00109395109395109</v>
      </c>
      <c r="H169" s="141" t="n">
        <f aca="false">IF(H79&lt;&gt;0,((H258/H79)/H$1),0)</f>
        <v>0.00329755236071636</v>
      </c>
      <c r="I169" s="141" t="n">
        <f aca="false">IF(I79&lt;&gt;0,((I258/I79)/I$1),0)</f>
        <v>0.00330982508847417</v>
      </c>
      <c r="J169" s="141" t="n">
        <f aca="false">IF(J79&lt;&gt;0,((J258/J79)/J$1),0)</f>
        <v>0.00110591237771161</v>
      </c>
      <c r="K169" s="141" t="n">
        <f aca="false">IF(K79&lt;&gt;0,((K258/K79)/K$1),0)</f>
        <v>0.0017021897810219</v>
      </c>
      <c r="L169" s="141" t="n">
        <f aca="false">IF(L79&lt;&gt;0,((L258/L79)/L$1),0)</f>
        <v>0.0017021897810219</v>
      </c>
      <c r="M169" s="141" t="n">
        <f aca="false">IF(M79&lt;&gt;0,((M258/M79)/M$1),0)</f>
        <v>0.0017021897810219</v>
      </c>
      <c r="N169" s="142" t="n">
        <f aca="false">IF(N79&lt;&gt;0,((N258/N79)/N$1),0)</f>
        <v>0.00165520841806196</v>
      </c>
      <c r="O169" s="142"/>
      <c r="P169" s="142" t="n">
        <f aca="false">IF(P79&lt;&gt;0,((P258/P79)/P$1),0)</f>
        <v>0.00329067040096819</v>
      </c>
      <c r="Q169" s="143" t="e">
        <f aca="false">#REF!</f>
        <v>#REF!</v>
      </c>
      <c r="R169" s="143" t="e">
        <f aca="false">#REF!</f>
        <v>#REF!</v>
      </c>
      <c r="S169" s="143" t="e">
        <f aca="false">#REF!</f>
        <v>#REF!</v>
      </c>
      <c r="T169" s="142" t="n">
        <f aca="false">IF(T79&lt;&gt;0,((T258/T79)/T$1),0)</f>
        <v>0.00166636245751955</v>
      </c>
      <c r="U169" s="142" t="n">
        <f aca="false">IF(U79&lt;&gt;0,((U258/U79)/U$1),0)</f>
        <v>0.00166636245751955</v>
      </c>
    </row>
    <row r="170" customFormat="false" ht="12.75" hidden="false" customHeight="false" outlineLevel="0" collapsed="false">
      <c r="A170" s="95" t="s">
        <v>111</v>
      </c>
      <c r="B170" s="141" t="n">
        <f aca="false">IF(B80&lt;&gt;0,((B259/B80)/B$1),0)</f>
        <v>0.0021505376344086</v>
      </c>
      <c r="C170" s="141" t="n">
        <f aca="false">IF(C80&lt;&gt;0,((C259/C80)/C$1),0)</f>
        <v>0</v>
      </c>
      <c r="D170" s="141" t="n">
        <f aca="false">IF(D80&lt;&gt;0,((D259/D80)/D$1),0)</f>
        <v>0</v>
      </c>
      <c r="E170" s="141" t="n">
        <f aca="false">IF(E80&lt;&gt;0,((E259/E80)/E$1),0)</f>
        <v>0</v>
      </c>
      <c r="F170" s="141" t="n">
        <f aca="false">IF(F80&lt;&gt;0,((F259/F80)/F$1),0)</f>
        <v>0</v>
      </c>
      <c r="G170" s="141" t="n">
        <f aca="false">IF(G80&lt;&gt;0,((G259/G80)/G$1),0)</f>
        <v>0</v>
      </c>
      <c r="H170" s="141" t="n">
        <f aca="false">IF(H80&lt;&gt;0,((H259/H80)/H$1),0)</f>
        <v>0</v>
      </c>
      <c r="I170" s="141" t="n">
        <f aca="false">IF(I80&lt;&gt;0,((I259/I80)/I$1),0)</f>
        <v>0</v>
      </c>
      <c r="J170" s="141" t="n">
        <f aca="false">IF(J80&lt;&gt;0,((J259/J80)/J$1),0)</f>
        <v>0</v>
      </c>
      <c r="K170" s="141" t="n">
        <f aca="false">IF(K80&lt;&gt;0,((K259/K80)/K$1),0)</f>
        <v>0</v>
      </c>
      <c r="L170" s="141" t="n">
        <f aca="false">IF(L80&lt;&gt;0,((L259/L80)/L$1),0)</f>
        <v>0</v>
      </c>
      <c r="M170" s="141" t="n">
        <f aca="false">IF(M80&lt;&gt;0,((M259/M80)/M$1),0)</f>
        <v>0</v>
      </c>
      <c r="N170" s="142" t="n">
        <f aca="false">IF(N80&lt;&gt;0,((N259/N80)/N$1),0)</f>
        <v>0.00110651293513621</v>
      </c>
      <c r="O170" s="142"/>
      <c r="P170" s="142" t="n">
        <f aca="false">IF(P80&lt;&gt;0,((P259/P80)/P$1),0)</f>
        <v>0</v>
      </c>
      <c r="Q170" s="143"/>
      <c r="R170" s="143"/>
      <c r="S170" s="143"/>
      <c r="T170" s="142" t="n">
        <f aca="false">IF(T80&lt;&gt;0,((T259/T80)/T$1),0)</f>
        <v>0</v>
      </c>
      <c r="U170" s="142" t="n">
        <f aca="false">IF(U80&lt;&gt;0,((U259/U80)/U$1),0)</f>
        <v>0</v>
      </c>
    </row>
    <row r="171" customFormat="false" ht="12.75" hidden="false" customHeight="false" outlineLevel="0" collapsed="false">
      <c r="A171" s="95" t="s">
        <v>114</v>
      </c>
      <c r="B171" s="141" t="n">
        <f aca="false">IF(B81&lt;&gt;0,((B260/B81)/B$1),0)</f>
        <v>0.0311227900166578</v>
      </c>
      <c r="C171" s="141" t="n">
        <f aca="false">IF(C81&lt;&gt;0,((C260/C81)/C$1),0)</f>
        <v>0.102546303600164</v>
      </c>
      <c r="D171" s="141" t="n">
        <f aca="false">IF(D81&lt;&gt;0,((D260/D81)/D$1),0)</f>
        <v>0.0935483870967742</v>
      </c>
      <c r="E171" s="141" t="n">
        <f aca="false">IF(E81&lt;&gt;0,((E260/E81)/E$1),0)</f>
        <v>0.101041666666667</v>
      </c>
      <c r="F171" s="141" t="n">
        <f aca="false">IF(F81&lt;&gt;0,((F260/F81)/F$1),0)</f>
        <v>0.102822580645161</v>
      </c>
      <c r="G171" s="141" t="n">
        <f aca="false">IF(G81&lt;&gt;0,((G260/G81)/G$1),0)</f>
        <v>0.102898550724638</v>
      </c>
      <c r="H171" s="141" t="n">
        <f aca="false">IF(H81&lt;&gt;0,((H260/H81)/H$1),0)</f>
        <v>0.042680746913071</v>
      </c>
      <c r="I171" s="141" t="n">
        <f aca="false">IF(I81&lt;&gt;0,((I260/I81)/I$1),0)</f>
        <v>0.0309815421769881</v>
      </c>
      <c r="J171" s="141" t="n">
        <f aca="false">IF(J81&lt;&gt;0,((J260/J81)/J$1),0)</f>
        <v>0</v>
      </c>
      <c r="K171" s="141" t="n">
        <f aca="false">IF(K81&lt;&gt;0,((K260/K81)/K$1),0)</f>
        <v>0.03</v>
      </c>
      <c r="L171" s="141" t="n">
        <f aca="false">IF(L81&lt;&gt;0,((L260/L81)/L$1),0)</f>
        <v>0.03</v>
      </c>
      <c r="M171" s="141" t="n">
        <f aca="false">IF(M81&lt;&gt;0,((M260/M81)/M$1),0)</f>
        <v>0.03</v>
      </c>
      <c r="N171" s="142" t="n">
        <f aca="false">IF(N81&lt;&gt;0,((N260/N81)/N$1),0)</f>
        <v>0.0424734732083646</v>
      </c>
      <c r="O171" s="142"/>
      <c r="P171" s="142" t="n">
        <f aca="false">IF(P81&lt;&gt;0,((P260/P81)/P$1),0)</f>
        <v>0.306370321407915</v>
      </c>
      <c r="Q171" s="143" t="e">
        <f aca="false">#REF!</f>
        <v>#REF!</v>
      </c>
      <c r="R171" s="143" t="e">
        <f aca="false">#REF!</f>
        <v>#REF!</v>
      </c>
      <c r="S171" s="143" t="e">
        <f aca="false">#REF!</f>
        <v>#REF!</v>
      </c>
      <c r="T171" s="142" t="n">
        <f aca="false">IF(T81&lt;&gt;0,((T260/T81)/T$1),0)</f>
        <v>0.0300881620304227</v>
      </c>
      <c r="U171" s="142" t="n">
        <f aca="false">IF(U81&lt;&gt;0,((U260/U81)/U$1),0)</f>
        <v>0.0300881620304227</v>
      </c>
    </row>
    <row r="172" customFormat="false" ht="12.75" hidden="false" customHeight="false" outlineLevel="0" collapsed="false">
      <c r="A172" s="95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94"/>
      <c r="R172" s="94"/>
      <c r="S172" s="94"/>
      <c r="T172" s="56"/>
      <c r="U172" s="56"/>
    </row>
    <row r="173" customFormat="false" ht="12.75" hidden="false" customHeight="false" outlineLevel="0" collapsed="false">
      <c r="A173" s="92" t="s">
        <v>51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93"/>
      <c r="R173" s="93"/>
      <c r="S173" s="93"/>
      <c r="T173" s="103"/>
      <c r="U173" s="103"/>
    </row>
    <row r="174" customFormat="false" ht="12.75" hidden="false" customHeight="false" outlineLevel="0" collapsed="false">
      <c r="A174" s="95" t="s">
        <v>14</v>
      </c>
      <c r="B174" s="141" t="n">
        <f aca="false">IF(B85&lt;&gt;0,((B264/B85)/B$1),0)</f>
        <v>0.0386809084936627</v>
      </c>
      <c r="C174" s="141" t="n">
        <f aca="false">IF(C85&lt;&gt;0,((C264/C85)/C$1),0)</f>
        <v>0.0418405086157975</v>
      </c>
      <c r="D174" s="141" t="n">
        <f aca="false">IF(D85&lt;&gt;0,((D264/D85)/D$1),0)</f>
        <v>0.0418901434306125</v>
      </c>
      <c r="E174" s="141" t="n">
        <f aca="false">IF(E85&lt;&gt;0,((E264/E85)/E$1),0)</f>
        <v>0.0501155662747463</v>
      </c>
      <c r="F174" s="141" t="n">
        <f aca="false">IF(F85&lt;&gt;0,((F264/F85)/F$1),0)</f>
        <v>0.0538234328848047</v>
      </c>
      <c r="G174" s="141" t="n">
        <f aca="false">IF(G85&lt;&gt;0,((G264/G85)/G$1),0)</f>
        <v>0.0491569833675097</v>
      </c>
      <c r="H174" s="141" t="n">
        <f aca="false">IF(H85&lt;&gt;0,((H264/H85)/H$1),0)</f>
        <v>0.0439844488809499</v>
      </c>
      <c r="I174" s="141" t="n">
        <f aca="false">IF(I85&lt;&gt;0,((I264/I85)/I$1),0)</f>
        <v>0.0515498581485762</v>
      </c>
      <c r="J174" s="141" t="n">
        <f aca="false">IF(J85&lt;&gt;0,((J264/J85)/J$1),0)</f>
        <v>0.0378479070786763</v>
      </c>
      <c r="K174" s="141" t="n">
        <f aca="false">IF(K85&lt;&gt;0,((K264/K85)/K$1),0)</f>
        <v>0.0354723368360718</v>
      </c>
      <c r="L174" s="141" t="n">
        <f aca="false">IF(L85&lt;&gt;0,((L264/L85)/L$1),0)</f>
        <v>0.034305161444402</v>
      </c>
      <c r="M174" s="141" t="n">
        <f aca="false">IF(M85&lt;&gt;0,((M264/M85)/M$1),0)</f>
        <v>0.033381161444402</v>
      </c>
      <c r="N174" s="142" t="n">
        <f aca="false">IF(N85&lt;&gt;0,((N264/N85)/N$1),0)</f>
        <v>0.0430824476425908</v>
      </c>
      <c r="O174" s="142"/>
      <c r="P174" s="142" t="n">
        <f aca="false">IF(P85&lt;&gt;0,((P264/P85)/P$1),0)</f>
        <v>0.153152982647062</v>
      </c>
      <c r="Q174" s="143" t="e">
        <f aca="false">IF(#REF!=0,0,#REF!/#REF!)</f>
        <v>#REF!</v>
      </c>
      <c r="R174" s="143" t="e">
        <f aca="false">IF(#REF!=0,0,#REF!/#REF!)</f>
        <v>#REF!</v>
      </c>
      <c r="S174" s="143" t="e">
        <f aca="false">IF(#REF!=0,0,#REF!/#REF!)</f>
        <v>#REF!</v>
      </c>
      <c r="T174" s="142" t="n">
        <f aca="false">IF(T85&lt;&gt;0,((T264/T85)/T$1),0)</f>
        <v>0.0285340543050505</v>
      </c>
      <c r="U174" s="142" t="n">
        <f aca="false">IF(U85&lt;&gt;0,((U264/U85)/U$1),0)</f>
        <v>0.0285340543050505</v>
      </c>
    </row>
    <row r="175" customFormat="false" ht="12.75" hidden="false" customHeight="false" outlineLevel="0" collapsed="false">
      <c r="A175" s="95" t="s">
        <v>110</v>
      </c>
      <c r="B175" s="141" t="n">
        <f aca="false">IF(B86&lt;&gt;0,((B265/B86)/B$1),0)</f>
        <v>0.00329089766501212</v>
      </c>
      <c r="C175" s="141" t="n">
        <f aca="false">IF(C86&lt;&gt;0,((C265/C86)/C$1),0)</f>
        <v>0.00331977456919889</v>
      </c>
      <c r="D175" s="141" t="n">
        <f aca="false">IF(D86&lt;&gt;0,((D265/D86)/D$1),0)</f>
        <v>0.00330426385829385</v>
      </c>
      <c r="E175" s="141" t="n">
        <f aca="false">IF(E86&lt;&gt;0,((E265/E86)/E$1),0)</f>
        <v>0.0033027034225596</v>
      </c>
      <c r="F175" s="141" t="n">
        <f aca="false">IF(F86&lt;&gt;0,((F265/F86)/F$1),0)</f>
        <v>0.00330554548749547</v>
      </c>
      <c r="G175" s="141" t="n">
        <f aca="false">IF(G86&lt;&gt;0,((G265/G86)/G$1),0)</f>
        <v>0.00328812166050144</v>
      </c>
      <c r="H175" s="141" t="n">
        <f aca="false">IF(H86&lt;&gt;0,((H265/H86)/H$1),0)</f>
        <v>0.00109659142831034</v>
      </c>
      <c r="I175" s="141" t="n">
        <f aca="false">IF(I86&lt;&gt;0,((I265/I86)/I$1),0)</f>
        <v>0.00109679856684987</v>
      </c>
      <c r="J175" s="141" t="n">
        <f aca="false">IF(J86&lt;&gt;0,((J265/J86)/J$1),0)</f>
        <v>0.00330589311381158</v>
      </c>
      <c r="K175" s="141" t="n">
        <f aca="false">IF(K86&lt;&gt;0,((K265/K86)/K$1),0)</f>
        <v>0.0033</v>
      </c>
      <c r="L175" s="141" t="n">
        <f aca="false">IF(L86&lt;&gt;0,((L265/L86)/L$1),0)</f>
        <v>0.0033</v>
      </c>
      <c r="M175" s="141" t="n">
        <f aca="false">IF(M86&lt;&gt;0,((M265/M86)/M$1),0)</f>
        <v>0.0033</v>
      </c>
      <c r="N175" s="142" t="n">
        <f aca="false">IF(N86&lt;&gt;0,((N265/N86)/N$1),0)</f>
        <v>0.00290791773381999</v>
      </c>
      <c r="O175" s="142"/>
      <c r="P175" s="142" t="n">
        <f aca="false">IF(P86&lt;&gt;0,((P265/P86)/P$1),0)</f>
        <v>0.009888728782738</v>
      </c>
      <c r="Q175" s="143" t="e">
        <f aca="false">IF(#REF!=0,0,#REF!/#REF!)</f>
        <v>#REF!</v>
      </c>
      <c r="R175" s="143" t="e">
        <f aca="false">IF(#REF!=0,0,#REF!/#REF!)</f>
        <v>#REF!</v>
      </c>
      <c r="S175" s="143" t="e">
        <f aca="false">IF(#REF!=0,0,#REF!/#REF!)</f>
        <v>#REF!</v>
      </c>
      <c r="T175" s="142" t="n">
        <f aca="false">IF(T86&lt;&gt;0,((T265/T86)/T$1),0)</f>
        <v>0.0029068750646392</v>
      </c>
      <c r="U175" s="142" t="n">
        <f aca="false">IF(U86&lt;&gt;0,((U265/U86)/U$1),0)</f>
        <v>0.0029068750646392</v>
      </c>
    </row>
    <row r="176" customFormat="false" ht="12.75" hidden="false" customHeight="false" outlineLevel="0" collapsed="false">
      <c r="A176" s="95" t="s">
        <v>111</v>
      </c>
      <c r="B176" s="141" t="n">
        <f aca="false">IF(B87&lt;&gt;0,((B266/B87)/B$1),0)</f>
        <v>0</v>
      </c>
      <c r="C176" s="141" t="n">
        <f aca="false">IF(C87&lt;&gt;0,((C266/C87)/C$1),0)</f>
        <v>0</v>
      </c>
      <c r="D176" s="141" t="n">
        <f aca="false">IF(D87&lt;&gt;0,((D266/D87)/D$1),0)</f>
        <v>0</v>
      </c>
      <c r="E176" s="141" t="n">
        <f aca="false">IF(E87&lt;&gt;0,((E266/E87)/E$1),0)</f>
        <v>0</v>
      </c>
      <c r="F176" s="141" t="n">
        <f aca="false">IF(F87&lt;&gt;0,((F266/F87)/F$1),0)</f>
        <v>0</v>
      </c>
      <c r="G176" s="141" t="n">
        <f aca="false">IF(G87&lt;&gt;0,((G266/G87)/G$1),0)</f>
        <v>0</v>
      </c>
      <c r="H176" s="141" t="n">
        <f aca="false">IF(H87&lt;&gt;0,((H266/H87)/H$1),0)</f>
        <v>0</v>
      </c>
      <c r="I176" s="141" t="n">
        <f aca="false">IF(I87&lt;&gt;0,((I266/I87)/I$1),0)</f>
        <v>0</v>
      </c>
      <c r="J176" s="141" t="n">
        <f aca="false">IF(J87&lt;&gt;0,((J266/J87)/J$1),0)</f>
        <v>0</v>
      </c>
      <c r="K176" s="141" t="n">
        <f aca="false">IF(K87&lt;&gt;0,((K266/K87)/K$1),0)</f>
        <v>0</v>
      </c>
      <c r="L176" s="141" t="n">
        <f aca="false">IF(L87&lt;&gt;0,((L266/L87)/L$1),0)</f>
        <v>0</v>
      </c>
      <c r="M176" s="141" t="n">
        <f aca="false">IF(M87&lt;&gt;0,((M266/M87)/M$1),0)</f>
        <v>0</v>
      </c>
      <c r="N176" s="142" t="n">
        <f aca="false">IF(N87&lt;&gt;0,((N266/N87)/N$1),0)</f>
        <v>0</v>
      </c>
      <c r="O176" s="142"/>
      <c r="P176" s="142" t="n">
        <f aca="false">IF(P87&lt;&gt;0,((P266/P87)/P$1),0)</f>
        <v>0</v>
      </c>
      <c r="Q176" s="143"/>
      <c r="R176" s="143"/>
      <c r="S176" s="143"/>
      <c r="T176" s="142" t="n">
        <f aca="false">IF(T87&lt;&gt;0,((T266/T87)/T$1),0)</f>
        <v>0</v>
      </c>
      <c r="U176" s="142" t="n">
        <f aca="false">IF(U87&lt;&gt;0,((U266/U87)/U$1),0)</f>
        <v>0</v>
      </c>
    </row>
    <row r="177" customFormat="false" ht="12.75" hidden="false" customHeight="false" outlineLevel="0" collapsed="false">
      <c r="A177" s="95" t="s">
        <v>114</v>
      </c>
      <c r="B177" s="141" t="n">
        <f aca="false">IF(B88&lt;&gt;0,((B267/B88)/B$1),0)</f>
        <v>0.0368583524377383</v>
      </c>
      <c r="C177" s="141" t="n">
        <f aca="false">IF(C88&lt;&gt;0,((C267/C88)/C$1),0)</f>
        <v>0.0479983372319139</v>
      </c>
      <c r="D177" s="141" t="n">
        <f aca="false">IF(D88&lt;&gt;0,((D267/D88)/D$1),0)</f>
        <v>0.0519078341013825</v>
      </c>
      <c r="E177" s="141" t="n">
        <f aca="false">IF(E88&lt;&gt;0,((E267/E88)/E$1),0)</f>
        <v>0.047275641025641</v>
      </c>
      <c r="F177" s="141" t="n">
        <f aca="false">IF(F88&lt;&gt;0,((F267/F88)/F$1),0)</f>
        <v>0.057099856751709</v>
      </c>
      <c r="G177" s="141" t="n">
        <f aca="false">IF(G88&lt;&gt;0,((G267/G88)/G$1),0)</f>
        <v>0.0481054787506401</v>
      </c>
      <c r="H177" s="141" t="n">
        <f aca="false">IF(H88&lt;&gt;0,((H267/H88)/H$1),0)</f>
        <v>0.120967741935484</v>
      </c>
      <c r="I177" s="141" t="n">
        <f aca="false">IF(I88&lt;&gt;0,((I267/I88)/I$1),0)</f>
        <v>0.0967741935483871</v>
      </c>
      <c r="J177" s="141" t="n">
        <f aca="false">IF(J88&lt;&gt;0,((J267/J88)/J$1),0)</f>
        <v>0.00496540496540497</v>
      </c>
      <c r="K177" s="141" t="n">
        <f aca="false">IF(K88&lt;&gt;0,((K267/K88)/K$1),0)</f>
        <v>0.0151</v>
      </c>
      <c r="L177" s="141" t="n">
        <f aca="false">IF(L88&lt;&gt;0,((L267/L88)/L$1),0)</f>
        <v>0.0151</v>
      </c>
      <c r="M177" s="141" t="n">
        <f aca="false">IF(M88&lt;&gt;0,((M267/M88)/M$1),0)</f>
        <v>0.0151</v>
      </c>
      <c r="N177" s="142" t="n">
        <f aca="false">IF(N88&lt;&gt;0,((N267/N88)/N$1),0)</f>
        <v>0.039585762776855</v>
      </c>
      <c r="O177" s="142"/>
      <c r="P177" s="142" t="n">
        <f aca="false">IF(P88&lt;&gt;0,((P267/P88)/P$1),0)</f>
        <v>0.155308309154463</v>
      </c>
      <c r="Q177" s="143" t="e">
        <f aca="false">IF(#REF!=0,0,#REF!/#REF!)</f>
        <v>#REF!</v>
      </c>
      <c r="R177" s="143" t="e">
        <f aca="false">IF(#REF!=0,0,#REF!/#REF!)</f>
        <v>#REF!</v>
      </c>
      <c r="S177" s="143" t="e">
        <f aca="false">IF(#REF!=0,0,#REF!/#REF!)</f>
        <v>#REF!</v>
      </c>
      <c r="T177" s="142" t="n">
        <f aca="false">IF(T88&lt;&gt;0,((T267/T88)/T$1),0)</f>
        <v>0.0169475681832712</v>
      </c>
      <c r="U177" s="142" t="n">
        <f aca="false">IF(U88&lt;&gt;0,((U267/U88)/U$1),0)</f>
        <v>0.0169475681832712</v>
      </c>
    </row>
    <row r="178" customFormat="false" ht="12.75" hidden="false" customHeight="false" outlineLevel="0" collapsed="false">
      <c r="A178" s="95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94"/>
      <c r="R178" s="94"/>
      <c r="S178" s="94"/>
      <c r="T178" s="56"/>
      <c r="U178" s="56"/>
    </row>
    <row r="179" customFormat="false" ht="12.75" hidden="false" customHeight="false" outlineLevel="0" collapsed="false">
      <c r="A179" s="92" t="s">
        <v>57</v>
      </c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93"/>
      <c r="R179" s="93"/>
      <c r="S179" s="93"/>
      <c r="T179" s="103"/>
      <c r="U179" s="103"/>
    </row>
    <row r="180" customFormat="false" ht="12.75" hidden="false" customHeight="false" outlineLevel="0" collapsed="false">
      <c r="A180" s="95" t="s">
        <v>14</v>
      </c>
      <c r="B180" s="141" t="n">
        <f aca="false">IF(B95&lt;&gt;0,((B246/B95)/B$1),0)</f>
        <v>0.0426638917793965</v>
      </c>
      <c r="C180" s="141" t="n">
        <f aca="false">IF(C95&lt;&gt;0,((C246/C95)/C$1),0)</f>
        <v>0.0321812596006144</v>
      </c>
      <c r="D180" s="141" t="n">
        <f aca="false">IF(D95&lt;&gt;0,((D246/D95)/D$1),0)</f>
        <v>0.0265071106486299</v>
      </c>
      <c r="E180" s="141" t="n">
        <f aca="false">IF(E95&lt;&gt;0,((E246/E95)/E$1),0)</f>
        <v>0.0307956989247312</v>
      </c>
      <c r="F180" s="141" t="n">
        <f aca="false">IF(F95&lt;&gt;0,((F246/F95)/F$1),0)</f>
        <v>0.0320499479708637</v>
      </c>
      <c r="G180" s="141" t="n">
        <f aca="false">IF(G95&lt;&gt;0,((G246/G95)/G$1),0)</f>
        <v>0.0256774193548387</v>
      </c>
      <c r="H180" s="141" t="n">
        <f aca="false">IF(H95&lt;&gt;0,((H246/H95)/H$1),0)</f>
        <v>0.0335043988269795</v>
      </c>
      <c r="I180" s="141" t="n">
        <f aca="false">IF(I95&lt;&gt;0,((I246/I95)/I$1),0)</f>
        <v>0.0321955219524399</v>
      </c>
      <c r="J180" s="141" t="n">
        <f aca="false">IF(J95&lt;&gt;0,((J246/J95)/J$1),0)</f>
        <v>0.0320573476702509</v>
      </c>
      <c r="K180" s="141" t="n">
        <f aca="false">IF(K95&lt;&gt;0,((K246/K95)/K$1),0)</f>
        <v>0.0321496774193548</v>
      </c>
      <c r="L180" s="141" t="n">
        <f aca="false">IF(L95&lt;&gt;0,((L246/L95)/L$1),0)</f>
        <v>0.0321496774193548</v>
      </c>
      <c r="M180" s="141" t="n">
        <f aca="false">IF(M95&lt;&gt;0,((M246/M95)/M$1),0)</f>
        <v>0.0232643440860215</v>
      </c>
      <c r="N180" s="142" t="n">
        <f aca="false">IF(N95&lt;&gt;0,((N246/N95)/N$1),0)</f>
        <v>0.031257685009937</v>
      </c>
      <c r="O180" s="142"/>
      <c r="P180" s="142" t="n">
        <f aca="false">IF(P95&lt;&gt;0,((P246/P95)/P$1),0)</f>
        <v>0.0886068769939738</v>
      </c>
      <c r="Q180" s="143" t="e">
        <f aca="false">IF(#REF!=0,0,#REF!/#REF!)</f>
        <v>#REF!</v>
      </c>
      <c r="R180" s="143" t="e">
        <f aca="false">IF(#REF!=0,0,#REF!/#REF!)</f>
        <v>#REF!</v>
      </c>
      <c r="S180" s="143" t="e">
        <f aca="false">IF(#REF!=0,0,#REF!/#REF!)</f>
        <v>#REF!</v>
      </c>
      <c r="T180" s="142" t="n">
        <f aca="false">IF(T95&lt;&gt;0,((T246/T95)/T$1),0)</f>
        <v>0.0313770740197378</v>
      </c>
      <c r="U180" s="142" t="n">
        <f aca="false">IF(U95&lt;&gt;0,((U246/U95)/U$1),0)</f>
        <v>0.0313770740197378</v>
      </c>
    </row>
    <row r="181" customFormat="false" ht="12.75" hidden="false" customHeight="false" outlineLevel="0" collapsed="false">
      <c r="A181" s="95" t="s">
        <v>18</v>
      </c>
      <c r="B181" s="141" t="n">
        <f aca="false">IF(B96&lt;&gt;0,((B247/B96)/B$1),0)</f>
        <v>0.00219489898160345</v>
      </c>
      <c r="C181" s="141" t="n">
        <f aca="false">IF(C96&lt;&gt;0,((C247/C96)/C$1),0)</f>
        <v>0.00177234916180774</v>
      </c>
      <c r="D181" s="141" t="n">
        <f aca="false">IF(D96&lt;&gt;0,((D247/D96)/D$1),0)</f>
        <v>0.00155672881343486</v>
      </c>
      <c r="E181" s="141" t="n">
        <f aca="false">IF(E96&lt;&gt;0,((E247/E96)/E$1),0)</f>
        <v>0.00377419095800209</v>
      </c>
      <c r="F181" s="141" t="n">
        <f aca="false">IF(F96&lt;&gt;0,((F247/F96)/F$1),0)</f>
        <v>0.00386476952665688</v>
      </c>
      <c r="G181" s="141" t="n">
        <f aca="false">IF(G96&lt;&gt;0,((G247/G96)/G$1),0)</f>
        <v>0.00351411178749308</v>
      </c>
      <c r="H181" s="141" t="n">
        <f aca="false">IF(H96&lt;&gt;0,((H247/H96)/H$1),0)</f>
        <v>0.00369132333941718</v>
      </c>
      <c r="I181" s="141" t="n">
        <f aca="false">IF(I96&lt;&gt;0,((I247/I96)/I$1),0)</f>
        <v>0.00408029477586636</v>
      </c>
      <c r="J181" s="141" t="n">
        <f aca="false">IF(J96&lt;&gt;0,((J247/J96)/J$1),0)</f>
        <v>0.00270087778528022</v>
      </c>
      <c r="K181" s="141" t="n">
        <f aca="false">IF(K96&lt;&gt;0,((K247/K96)/K$1),0)</f>
        <v>0.00271508314237029</v>
      </c>
      <c r="L181" s="141" t="n">
        <f aca="false">IF(L96&lt;&gt;0,((L247/L96)/L$1),0)</f>
        <v>0.00272103075056826</v>
      </c>
      <c r="M181" s="141" t="n">
        <f aca="false">IF(M96&lt;&gt;0,((M247/M96)/M$1),0)</f>
        <v>0.00182615903704482</v>
      </c>
      <c r="N181" s="142" t="n">
        <f aca="false">IF(N96&lt;&gt;0,((N247/N96)/N$1),0)</f>
        <v>0.00277737154939498</v>
      </c>
      <c r="O181" s="142"/>
      <c r="P181" s="142" t="n">
        <f aca="false">IF(P96&lt;&gt;0,((P247/P96)/P$1),0)</f>
        <v>0.0111552460278575</v>
      </c>
      <c r="Q181" s="143" t="e">
        <f aca="false">IF(#REF!=0,0,#REF!/#REF!)</f>
        <v>#REF!</v>
      </c>
      <c r="R181" s="143" t="e">
        <f aca="false">IF(#REF!=0,0,#REF!/#REF!)</f>
        <v>#REF!</v>
      </c>
      <c r="S181" s="143" t="e">
        <f aca="false">IF(#REF!=0,0,#REF!/#REF!)</f>
        <v>#REF!</v>
      </c>
      <c r="T181" s="142" t="n">
        <f aca="false">IF(T96&lt;&gt;0,((T247/T96)/T$1),0)</f>
        <v>0.00260961878621603</v>
      </c>
      <c r="U181" s="142" t="n">
        <f aca="false">IF(U96&lt;&gt;0,((U247/U96)/U$1),0)</f>
        <v>0.00260961878621603</v>
      </c>
    </row>
    <row r="182" customFormat="false" ht="12.75" hidden="false" customHeight="false" outlineLevel="0" collapsed="false">
      <c r="A182" s="95" t="s">
        <v>20</v>
      </c>
      <c r="B182" s="141" t="n">
        <f aca="false">IF(B97&lt;&gt;0,((B248/B97)/B$1),0)</f>
        <v>0</v>
      </c>
      <c r="C182" s="141" t="n">
        <f aca="false">IF(C97&lt;&gt;0,((C248/C97)/C$1),0)</f>
        <v>0</v>
      </c>
      <c r="D182" s="141" t="n">
        <f aca="false">IF(D97&lt;&gt;0,((D248/D97)/D$1),0)</f>
        <v>0</v>
      </c>
      <c r="E182" s="141" t="n">
        <f aca="false">IF(E97&lt;&gt;0,((E248/E97)/E$1),0)</f>
        <v>0</v>
      </c>
      <c r="F182" s="141" t="n">
        <f aca="false">IF(F97&lt;&gt;0,((F248/F97)/F$1),0)</f>
        <v>0</v>
      </c>
      <c r="G182" s="141" t="n">
        <f aca="false">IF(G97&lt;&gt;0,((G248/G97)/G$1),0)</f>
        <v>0</v>
      </c>
      <c r="H182" s="141" t="n">
        <f aca="false">IF(H97&lt;&gt;0,((H248/H97)/H$1),0)</f>
        <v>0</v>
      </c>
      <c r="I182" s="141" t="n">
        <f aca="false">IF(I97&lt;&gt;0,((I248/I97)/I$1),0)</f>
        <v>0</v>
      </c>
      <c r="J182" s="141" t="n">
        <f aca="false">IF(J97&lt;&gt;0,((J248/J97)/J$1),0)</f>
        <v>0</v>
      </c>
      <c r="K182" s="141" t="n">
        <f aca="false">IF(K97&lt;&gt;0,((K248/K97)/K$1),0)</f>
        <v>0</v>
      </c>
      <c r="L182" s="141" t="n">
        <f aca="false">IF(L97&lt;&gt;0,((L248/L97)/L$1),0)</f>
        <v>0</v>
      </c>
      <c r="M182" s="141" t="n">
        <f aca="false">IF(M97&lt;&gt;0,((M248/M97)/M$1),0)</f>
        <v>0</v>
      </c>
      <c r="N182" s="142" t="n">
        <f aca="false">IF(N97&lt;&gt;0,((N248/N97)/N$1),0)</f>
        <v>0</v>
      </c>
      <c r="O182" s="142"/>
      <c r="P182" s="142" t="n">
        <f aca="false">IF(P97&lt;&gt;0,((P248/P97)/P$1),0)</f>
        <v>0</v>
      </c>
      <c r="Q182" s="143" t="e">
        <f aca="false">IF(#REF!=0,0,#REF!/#REF!)</f>
        <v>#REF!</v>
      </c>
      <c r="R182" s="143" t="e">
        <f aca="false">IF(#REF!=0,0,#REF!/#REF!)</f>
        <v>#REF!</v>
      </c>
      <c r="S182" s="143" t="e">
        <f aca="false">IF(#REF!=0,0,#REF!/#REF!)</f>
        <v>#REF!</v>
      </c>
      <c r="T182" s="142" t="n">
        <f aca="false">IF(T97&lt;&gt;0,((T248/T97)/T$1),0)</f>
        <v>0</v>
      </c>
      <c r="U182" s="142" t="n">
        <f aca="false">IF(U97&lt;&gt;0,((U248/U97)/U$1),0)</f>
        <v>0</v>
      </c>
    </row>
    <row r="183" customFormat="false" ht="12.75" hidden="false" customHeight="false" outlineLevel="0" collapsed="false">
      <c r="A183" s="95" t="s">
        <v>22</v>
      </c>
      <c r="B183" s="141" t="n">
        <f aca="false">IF(B98&lt;&gt;0,((B249/B98)/B$1),0)</f>
        <v>0</v>
      </c>
      <c r="C183" s="141" t="n">
        <f aca="false">IF(C98&lt;&gt;0,((C249/C98)/C$1),0)</f>
        <v>0.0492178830941046</v>
      </c>
      <c r="D183" s="141" t="n">
        <f aca="false">IF(D98&lt;&gt;0,((D249/D98)/D$1),0)</f>
        <v>1.99193548387097</v>
      </c>
      <c r="E183" s="141" t="n">
        <f aca="false">IF(E98&lt;&gt;0,((E249/E98)/E$1),0)</f>
        <v>0.321904761904762</v>
      </c>
      <c r="F183" s="141" t="n">
        <f aca="false">IF(F98&lt;&gt;0,((F249/F98)/F$1),0)</f>
        <v>0.261088709677419</v>
      </c>
      <c r="G183" s="141" t="n">
        <f aca="false">IF(G98&lt;&gt;0,((G249/G98)/G$1),0)</f>
        <v>-0.089922480620155</v>
      </c>
      <c r="H183" s="141" t="n">
        <f aca="false">IF(H98&lt;&gt;0,((H249/H98)/H$1),0)</f>
        <v>0</v>
      </c>
      <c r="I183" s="141" t="n">
        <f aca="false">IF(I98&lt;&gt;0,((I249/I98)/I$1),0)</f>
        <v>0</v>
      </c>
      <c r="J183" s="141" t="n">
        <f aca="false">IF(J98&lt;&gt;0,((J249/J98)/J$1),0)</f>
        <v>0</v>
      </c>
      <c r="K183" s="141" t="n">
        <f aca="false">IF(K98&lt;&gt;0,((K249/K98)/K$1),0)</f>
        <v>0</v>
      </c>
      <c r="L183" s="141" t="n">
        <f aca="false">IF(L98&lt;&gt;0,((L249/L98)/L$1),0)</f>
        <v>0</v>
      </c>
      <c r="M183" s="141" t="n">
        <f aca="false">IF(M98&lt;&gt;0,((M249/M98)/M$1),0)</f>
        <v>0</v>
      </c>
      <c r="N183" s="142" t="n">
        <f aca="false">IF(N98&lt;&gt;0,((N249/N98)/N$1),0)</f>
        <v>0.269781020641673</v>
      </c>
      <c r="O183" s="142"/>
      <c r="P183" s="142" t="n">
        <f aca="false">IF(P98&lt;&gt;0,((P249/P98)/P$1),0)</f>
        <v>2.93818681318681</v>
      </c>
      <c r="Q183" s="143" t="e">
        <f aca="false">IF(#REF!=0,0,#REF!/#REF!)</f>
        <v>#REF!</v>
      </c>
      <c r="R183" s="143" t="e">
        <f aca="false">IF(#REF!=0,0,#REF!/#REF!)</f>
        <v>#REF!</v>
      </c>
      <c r="S183" s="143" t="e">
        <f aca="false">IF(#REF!=0,0,#REF!/#REF!)</f>
        <v>#REF!</v>
      </c>
      <c r="T183" s="142" t="n">
        <f aca="false">IF(T98&lt;&gt;0,((T249/T98)/T$1),0)</f>
        <v>0</v>
      </c>
      <c r="U183" s="142" t="n">
        <f aca="false">IF(U98&lt;&gt;0,((U249/U98)/U$1),0)</f>
        <v>0</v>
      </c>
    </row>
    <row r="184" customFormat="false" ht="12.75" hidden="false" customHeight="false" outlineLevel="0" collapsed="false">
      <c r="A184" s="103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4"/>
      <c r="O184" s="144"/>
      <c r="P184" s="143"/>
      <c r="Q184" s="143"/>
      <c r="R184" s="143"/>
      <c r="S184" s="143"/>
      <c r="T184" s="144"/>
      <c r="U184" s="144"/>
    </row>
    <row r="185" customFormat="false" ht="15.75" hidden="false" customHeight="false" outlineLevel="0" collapsed="false">
      <c r="A185" s="88" t="s">
        <v>139</v>
      </c>
      <c r="B185" s="103"/>
      <c r="C185" s="103"/>
      <c r="D185" s="103"/>
      <c r="E185" s="103"/>
      <c r="F185" s="145"/>
      <c r="G185" s="145"/>
      <c r="H185" s="103"/>
      <c r="I185" s="103"/>
      <c r="J185" s="103"/>
      <c r="K185" s="103"/>
      <c r="L185" s="103"/>
      <c r="M185" s="103"/>
      <c r="N185" s="56"/>
      <c r="O185" s="56"/>
      <c r="P185" s="146"/>
      <c r="Q185" s="147"/>
      <c r="R185" s="147"/>
      <c r="S185" s="146"/>
      <c r="T185" s="56"/>
      <c r="U185" s="56"/>
    </row>
    <row r="186" customFormat="false" ht="15.75" hidden="false" customHeight="false" outlineLevel="0" collapsed="false">
      <c r="A186" s="91" t="s">
        <v>11</v>
      </c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6"/>
      <c r="O186" s="116"/>
      <c r="P186" s="89"/>
      <c r="Q186" s="89"/>
      <c r="R186" s="89"/>
      <c r="S186" s="89"/>
      <c r="T186" s="116"/>
      <c r="U186" s="116"/>
    </row>
    <row r="187" customFormat="false" ht="12.75" hidden="false" customHeight="false" outlineLevel="0" collapsed="false">
      <c r="A187" s="92" t="s">
        <v>12</v>
      </c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56"/>
      <c r="O187" s="56"/>
      <c r="P187" s="93"/>
      <c r="Q187" s="93"/>
      <c r="R187" s="93"/>
      <c r="S187" s="93"/>
      <c r="T187" s="56"/>
      <c r="U187" s="56"/>
    </row>
    <row r="188" customFormat="false" ht="12.75" hidden="false" customHeight="false" outlineLevel="0" collapsed="false">
      <c r="A188" s="95" t="s">
        <v>14</v>
      </c>
      <c r="B188" s="96" t="n">
        <f aca="false">2489-B189</f>
        <v>2167</v>
      </c>
      <c r="C188" s="96" t="n">
        <f aca="false">2248-403</f>
        <v>1845</v>
      </c>
      <c r="D188" s="96" t="n">
        <f aca="false">2489.1-412</f>
        <v>2077.1</v>
      </c>
      <c r="E188" s="96" t="n">
        <v>2047.1</v>
      </c>
      <c r="F188" s="96" t="n">
        <f aca="false">1894.6+9.2</f>
        <v>1903.8</v>
      </c>
      <c r="G188" s="96" t="n">
        <f aca="false">1870.8+8.9</f>
        <v>1879.7</v>
      </c>
      <c r="H188" s="96" t="n">
        <f aca="false">2469-H189+9</f>
        <v>1941</v>
      </c>
      <c r="I188" s="96" t="n">
        <f aca="false">2565.9-I189+9.3</f>
        <v>2037.47</v>
      </c>
      <c r="J188" s="96" t="n">
        <f aca="false">2416.6-J189</f>
        <v>2074.405</v>
      </c>
      <c r="K188" s="96" t="n">
        <f aca="false">Detail!W152/1000-K189</f>
        <v>2144.13267</v>
      </c>
      <c r="L188" s="96" t="n">
        <f aca="false">Detail!X152/1000-L189</f>
        <v>2115.7521</v>
      </c>
      <c r="M188" s="96" t="n">
        <f aca="false">Detail!Y152/1000-M189</f>
        <v>2186.27717</v>
      </c>
      <c r="N188" s="56" t="n">
        <f aca="false">SUM(B188:M188)</f>
        <v>24418.73694</v>
      </c>
      <c r="O188" s="148" t="n">
        <f aca="false">SUM(B188:D188)</f>
        <v>6089.1</v>
      </c>
      <c r="P188" s="148" t="n">
        <f aca="false">SUM(E188:G188)</f>
        <v>5830.6</v>
      </c>
      <c r="Q188" s="148" t="n">
        <f aca="false">SUM(H188:J188)</f>
        <v>6052.875</v>
      </c>
      <c r="R188" s="148" t="n">
        <f aca="false">SUM(K188:M188)</f>
        <v>6446.16194</v>
      </c>
      <c r="S188" s="148" t="n">
        <f aca="false">SUM(O188:R188)</f>
        <v>24418.73694</v>
      </c>
      <c r="T188" s="56" t="n">
        <f aca="false">25521.2395-301.5</f>
        <v>25219.7395</v>
      </c>
      <c r="U188" s="56" t="n">
        <f aca="false">25521.2395-301.5</f>
        <v>25219.7395</v>
      </c>
    </row>
    <row r="189" customFormat="false" ht="12.75" hidden="false" customHeight="false" outlineLevel="0" collapsed="false">
      <c r="A189" s="95" t="s">
        <v>16</v>
      </c>
      <c r="B189" s="96" t="n">
        <v>322</v>
      </c>
      <c r="C189" s="96" t="n">
        <v>403</v>
      </c>
      <c r="D189" s="96" t="n">
        <v>412</v>
      </c>
      <c r="E189" s="96" t="n">
        <v>361.6</v>
      </c>
      <c r="F189" s="96" t="n">
        <v>593.1</v>
      </c>
      <c r="G189" s="96" t="n">
        <v>537</v>
      </c>
      <c r="H189" s="96" t="n">
        <f aca="false">536+1</f>
        <v>537</v>
      </c>
      <c r="I189" s="96" t="n">
        <f aca="false">537+0.73</f>
        <v>537.73</v>
      </c>
      <c r="J189" s="96" t="n">
        <f aca="false">Detail!V177/1000</f>
        <v>342.195</v>
      </c>
      <c r="K189" s="96" t="n">
        <f aca="false">Detail!W177/1000</f>
        <v>353.6015</v>
      </c>
      <c r="L189" s="96" t="n">
        <f aca="false">Detail!X177/1000</f>
        <v>0</v>
      </c>
      <c r="M189" s="96" t="n">
        <f aca="false">Detail!Y177/1000</f>
        <v>0</v>
      </c>
      <c r="N189" s="56" t="n">
        <f aca="false">SUM(B189:M189)</f>
        <v>4399.2265</v>
      </c>
      <c r="O189" s="148" t="n">
        <f aca="false">SUM(B189:D189)</f>
        <v>1137</v>
      </c>
      <c r="P189" s="148" t="n">
        <f aca="false">SUM(E189:G189)</f>
        <v>1491.7</v>
      </c>
      <c r="Q189" s="148" t="n">
        <f aca="false">SUM(H189:J189)</f>
        <v>1416.925</v>
      </c>
      <c r="R189" s="148" t="n">
        <f aca="false">SUM(K189:M189)</f>
        <v>353.6015</v>
      </c>
      <c r="S189" s="148" t="n">
        <f aca="false">SUM(O189:R189)</f>
        <v>4399.2265</v>
      </c>
      <c r="T189" s="56"/>
      <c r="U189" s="56"/>
    </row>
    <row r="190" customFormat="false" ht="12.75" hidden="false" customHeight="false" outlineLevel="0" collapsed="false">
      <c r="A190" s="95" t="s">
        <v>18</v>
      </c>
      <c r="B190" s="96" t="n">
        <v>322</v>
      </c>
      <c r="C190" s="96" t="n">
        <v>293</v>
      </c>
      <c r="D190" s="96" t="n">
        <f aca="false">321.3+0.4</f>
        <v>321.7</v>
      </c>
      <c r="E190" s="96" t="n">
        <v>342.7</v>
      </c>
      <c r="F190" s="96" t="n">
        <f aca="false">300.9+0.5</f>
        <v>301.4</v>
      </c>
      <c r="G190" s="96" t="n">
        <f aca="false">285.7+0.5</f>
        <v>286.2</v>
      </c>
      <c r="H190" s="96" t="n">
        <v>272</v>
      </c>
      <c r="I190" s="96" t="n">
        <f aca="false">417.3+0.7</f>
        <v>418</v>
      </c>
      <c r="J190" s="96" t="n">
        <v>346</v>
      </c>
      <c r="K190" s="96" t="n">
        <f aca="false">Detail!W166/1000</f>
        <v>323.300135</v>
      </c>
      <c r="L190" s="96" t="n">
        <f aca="false">Detail!X166/1000</f>
        <v>235.635904</v>
      </c>
      <c r="M190" s="96" t="n">
        <f aca="false">Detail!Y166/1000</f>
        <v>263.7041071</v>
      </c>
      <c r="N190" s="56" t="n">
        <f aca="false">SUM(B190:M190)</f>
        <v>3725.6401461</v>
      </c>
      <c r="O190" s="148" t="n">
        <f aca="false">SUM(B190:D190)</f>
        <v>936.7</v>
      </c>
      <c r="P190" s="148" t="n">
        <f aca="false">SUM(E190:G190)</f>
        <v>930.3</v>
      </c>
      <c r="Q190" s="148" t="n">
        <f aca="false">SUM(H190:J190)</f>
        <v>1036</v>
      </c>
      <c r="R190" s="148" t="n">
        <f aca="false">SUM(K190:M190)</f>
        <v>822.6401461</v>
      </c>
      <c r="S190" s="148" t="n">
        <f aca="false">SUM(O190:R190)</f>
        <v>3725.6401461</v>
      </c>
      <c r="T190" s="56" t="n">
        <v>3698.646435</v>
      </c>
      <c r="U190" s="56" t="n">
        <v>3698.646435</v>
      </c>
      <c r="W190" s="108"/>
      <c r="Y190" s="108"/>
      <c r="AA190" s="108"/>
    </row>
    <row r="191" customFormat="false" ht="12.75" hidden="false" customHeight="false" outlineLevel="0" collapsed="false">
      <c r="A191" s="107" t="s">
        <v>20</v>
      </c>
      <c r="B191" s="96" t="n">
        <v>13</v>
      </c>
      <c r="C191" s="96" t="n">
        <v>10</v>
      </c>
      <c r="D191" s="96" t="n">
        <v>9.7</v>
      </c>
      <c r="E191" s="106" t="n">
        <v>7.4</v>
      </c>
      <c r="F191" s="149" t="n">
        <v>43.4</v>
      </c>
      <c r="G191" s="149" t="n">
        <v>72.8</v>
      </c>
      <c r="H191" s="149" t="n">
        <v>114</v>
      </c>
      <c r="I191" s="149" t="n">
        <v>122.9</v>
      </c>
      <c r="J191" s="149"/>
      <c r="K191" s="149"/>
      <c r="L191" s="149"/>
      <c r="M191" s="149"/>
      <c r="N191" s="56" t="n">
        <f aca="false">SUM(B191:M191)</f>
        <v>393.2</v>
      </c>
      <c r="O191" s="148" t="n">
        <f aca="false">SUM(B191:D191)</f>
        <v>32.7</v>
      </c>
      <c r="P191" s="148" t="n">
        <f aca="false">SUM(E191:G191)</f>
        <v>123.6</v>
      </c>
      <c r="Q191" s="148" t="n">
        <f aca="false">SUM(H191:J191)</f>
        <v>236.9</v>
      </c>
      <c r="R191" s="148" t="n">
        <f aca="false">SUM(K191:M191)</f>
        <v>0</v>
      </c>
      <c r="S191" s="148" t="n">
        <f aca="false">SUM(O191:R191)</f>
        <v>393.2</v>
      </c>
      <c r="T191" s="56" t="n">
        <v>0</v>
      </c>
      <c r="U191" s="56" t="n">
        <v>0</v>
      </c>
      <c r="W191" s="108"/>
      <c r="Y191" s="108"/>
      <c r="AA191" s="108"/>
    </row>
    <row r="192" customFormat="false" ht="12.75" hidden="false" customHeight="false" outlineLevel="0" collapsed="false">
      <c r="A192" s="95" t="s">
        <v>22</v>
      </c>
      <c r="B192" s="99" t="n">
        <v>61</v>
      </c>
      <c r="C192" s="99" t="n">
        <v>19</v>
      </c>
      <c r="D192" s="99" t="n">
        <v>29.4</v>
      </c>
      <c r="E192" s="150" t="n">
        <v>1406.2</v>
      </c>
      <c r="F192" s="99" t="n">
        <v>2294.4</v>
      </c>
      <c r="G192" s="99" t="n">
        <v>877.1</v>
      </c>
      <c r="H192" s="99" t="n">
        <v>297</v>
      </c>
      <c r="I192" s="99" t="n">
        <v>239</v>
      </c>
      <c r="J192" s="99" t="n">
        <v>108</v>
      </c>
      <c r="K192" s="99" t="n">
        <v>0</v>
      </c>
      <c r="L192" s="99" t="n">
        <v>0</v>
      </c>
      <c r="M192" s="99" t="n">
        <v>0</v>
      </c>
      <c r="N192" s="100" t="n">
        <f aca="false">SUM(B192:M192)</f>
        <v>5331.1</v>
      </c>
      <c r="O192" s="148" t="n">
        <f aca="false">SUM(B192:D192)</f>
        <v>109.4</v>
      </c>
      <c r="P192" s="148" t="n">
        <f aca="false">SUM(E192:G192)</f>
        <v>4577.7</v>
      </c>
      <c r="Q192" s="148" t="n">
        <f aca="false">SUM(H192:J192)</f>
        <v>644</v>
      </c>
      <c r="R192" s="148" t="n">
        <f aca="false">SUM(K192:M192)</f>
        <v>0</v>
      </c>
      <c r="S192" s="148" t="n">
        <f aca="false">SUM(O192:R192)</f>
        <v>5331.1</v>
      </c>
      <c r="T192" s="100" t="n">
        <v>0</v>
      </c>
      <c r="U192" s="100" t="n">
        <v>0</v>
      </c>
      <c r="X192" s="145"/>
      <c r="Z192" s="145"/>
      <c r="AB192" s="145"/>
    </row>
    <row r="193" customFormat="false" ht="12.75" hidden="false" customHeight="false" outlineLevel="0" collapsed="false">
      <c r="A193" s="92" t="s">
        <v>23</v>
      </c>
      <c r="B193" s="20" t="n">
        <f aca="false">SUM(B188:B192)</f>
        <v>2885</v>
      </c>
      <c r="C193" s="20" t="n">
        <f aca="false">SUM(C188:C192)</f>
        <v>2570</v>
      </c>
      <c r="D193" s="20" t="n">
        <f aca="false">SUM(D188:D192)</f>
        <v>2849.9</v>
      </c>
      <c r="E193" s="151" t="n">
        <f aca="false">SUM(E188:E192)</f>
        <v>4165</v>
      </c>
      <c r="F193" s="20" t="n">
        <f aca="false">SUM(F188:F192)</f>
        <v>5136.1</v>
      </c>
      <c r="G193" s="20" t="n">
        <f aca="false">SUM(G188:G192)</f>
        <v>3652.8</v>
      </c>
      <c r="H193" s="20" t="n">
        <f aca="false">SUM(H188:H192)</f>
        <v>3161</v>
      </c>
      <c r="I193" s="20" t="n">
        <f aca="false">SUM(I188:I192)</f>
        <v>3355.1</v>
      </c>
      <c r="J193" s="20" t="n">
        <f aca="false">SUM(J188:J192)</f>
        <v>2870.6</v>
      </c>
      <c r="K193" s="20" t="n">
        <f aca="false">SUM(K188:K192)</f>
        <v>2821.034305</v>
      </c>
      <c r="L193" s="20" t="n">
        <f aca="false">SUM(L188:L192)</f>
        <v>2351.388004</v>
      </c>
      <c r="M193" s="20" t="n">
        <f aca="false">SUM(M188:M192)</f>
        <v>2449.9812771</v>
      </c>
      <c r="N193" s="20" t="n">
        <f aca="false">SUM(N188:N192)</f>
        <v>38267.9035861</v>
      </c>
      <c r="O193" s="20" t="n">
        <f aca="false">SUM(O188:O192)</f>
        <v>8304.9</v>
      </c>
      <c r="P193" s="20" t="n">
        <f aca="false">SUM(P188:P192)</f>
        <v>12953.9</v>
      </c>
      <c r="Q193" s="20" t="n">
        <f aca="false">SUM(Q188:Q192)</f>
        <v>9386.7</v>
      </c>
      <c r="R193" s="20" t="n">
        <f aca="false">SUM(R188:R192)</f>
        <v>7622.4035861</v>
      </c>
      <c r="S193" s="20" t="n">
        <f aca="false">SUM(S188:S192)</f>
        <v>38267.9035861</v>
      </c>
      <c r="T193" s="20" t="n">
        <f aca="false">SUM(T188:T192)</f>
        <v>28918.385935</v>
      </c>
      <c r="U193" s="20" t="n">
        <f aca="false">SUM(U188:U192)</f>
        <v>28918.385935</v>
      </c>
      <c r="W193" s="152"/>
      <c r="X193" s="153"/>
      <c r="Y193" s="152"/>
      <c r="Z193" s="153"/>
      <c r="AA193" s="152"/>
      <c r="AB193" s="153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2"/>
      <c r="BN193" s="152"/>
      <c r="BO193" s="152"/>
      <c r="BP193" s="152"/>
      <c r="BQ193" s="152"/>
      <c r="BR193" s="152"/>
      <c r="BS193" s="152"/>
      <c r="BT193" s="152"/>
      <c r="BU193" s="152"/>
      <c r="BV193" s="152"/>
      <c r="BW193" s="152"/>
      <c r="BX193" s="152"/>
      <c r="BY193" s="152"/>
      <c r="BZ193" s="152"/>
      <c r="CA193" s="152"/>
      <c r="CB193" s="152"/>
      <c r="CC193" s="152"/>
      <c r="CD193" s="152"/>
      <c r="CE193" s="152"/>
      <c r="CF193" s="152"/>
      <c r="CG193" s="152"/>
      <c r="CH193" s="152"/>
      <c r="CI193" s="152"/>
      <c r="CJ193" s="152"/>
      <c r="CK193" s="152"/>
      <c r="CL193" s="152"/>
      <c r="CM193" s="152"/>
      <c r="CN193" s="152"/>
      <c r="CO193" s="152"/>
      <c r="CP193" s="152"/>
      <c r="CQ193" s="152"/>
      <c r="CR193" s="152"/>
      <c r="CS193" s="152"/>
      <c r="CT193" s="152"/>
      <c r="CU193" s="152"/>
      <c r="CV193" s="152"/>
      <c r="CW193" s="152"/>
      <c r="CX193" s="152"/>
      <c r="CY193" s="152"/>
      <c r="CZ193" s="152"/>
      <c r="DA193" s="152"/>
      <c r="DB193" s="152"/>
      <c r="DC193" s="152"/>
      <c r="DD193" s="152"/>
      <c r="DE193" s="152"/>
      <c r="DF193" s="152"/>
      <c r="DG193" s="152"/>
      <c r="DH193" s="152"/>
      <c r="DI193" s="152"/>
      <c r="DJ193" s="152"/>
      <c r="DK193" s="152"/>
      <c r="DL193" s="152"/>
      <c r="DM193" s="152"/>
      <c r="DN193" s="152"/>
      <c r="DO193" s="152"/>
      <c r="DP193" s="152"/>
      <c r="DQ193" s="152"/>
      <c r="DR193" s="152"/>
      <c r="DS193" s="152"/>
      <c r="DT193" s="152"/>
      <c r="DU193" s="152"/>
      <c r="DV193" s="152"/>
      <c r="DW193" s="152"/>
      <c r="DX193" s="152"/>
      <c r="DY193" s="152"/>
      <c r="DZ193" s="152"/>
      <c r="EA193" s="152"/>
      <c r="EB193" s="152"/>
      <c r="EC193" s="152"/>
      <c r="ED193" s="152"/>
      <c r="EE193" s="152"/>
      <c r="EF193" s="152"/>
      <c r="EG193" s="152"/>
      <c r="EH193" s="152"/>
      <c r="EI193" s="152"/>
      <c r="EJ193" s="152"/>
      <c r="EK193" s="152"/>
      <c r="EL193" s="152"/>
      <c r="EM193" s="152"/>
      <c r="EN193" s="152"/>
      <c r="EO193" s="152"/>
      <c r="EP193" s="152"/>
      <c r="EQ193" s="152"/>
      <c r="ER193" s="152"/>
      <c r="ES193" s="152"/>
      <c r="ET193" s="152"/>
      <c r="EU193" s="152"/>
      <c r="EV193" s="152"/>
      <c r="EW193" s="152"/>
      <c r="EX193" s="152"/>
      <c r="EY193" s="152"/>
      <c r="EZ193" s="152"/>
      <c r="FA193" s="152"/>
      <c r="FB193" s="152"/>
      <c r="FC193" s="152"/>
      <c r="FD193" s="152"/>
      <c r="FE193" s="152"/>
      <c r="FF193" s="152"/>
      <c r="FG193" s="152"/>
      <c r="FH193" s="152"/>
      <c r="FI193" s="152"/>
      <c r="FJ193" s="152"/>
      <c r="FK193" s="152"/>
      <c r="FL193" s="152"/>
      <c r="FM193" s="152"/>
      <c r="FN193" s="152"/>
      <c r="FO193" s="152"/>
      <c r="FP193" s="152"/>
      <c r="FQ193" s="152"/>
      <c r="FR193" s="152"/>
      <c r="FS193" s="152"/>
      <c r="FT193" s="152"/>
      <c r="FU193" s="152"/>
      <c r="FV193" s="152"/>
      <c r="FW193" s="152"/>
      <c r="FX193" s="152"/>
      <c r="FY193" s="152"/>
      <c r="FZ193" s="152"/>
      <c r="GA193" s="152"/>
      <c r="GB193" s="152"/>
      <c r="GC193" s="152"/>
      <c r="GD193" s="152"/>
      <c r="GE193" s="152"/>
      <c r="GF193" s="152"/>
      <c r="GG193" s="152"/>
      <c r="GH193" s="152"/>
      <c r="GI193" s="152"/>
      <c r="GJ193" s="152"/>
      <c r="GK193" s="152"/>
      <c r="GL193" s="152"/>
      <c r="GM193" s="152"/>
      <c r="GN193" s="152"/>
      <c r="GO193" s="152"/>
      <c r="GP193" s="152"/>
      <c r="GQ193" s="152"/>
      <c r="GR193" s="152"/>
      <c r="GS193" s="152"/>
      <c r="GT193" s="152"/>
      <c r="GU193" s="152"/>
      <c r="GV193" s="152"/>
      <c r="GW193" s="152"/>
      <c r="GX193" s="152"/>
      <c r="GY193" s="152"/>
      <c r="GZ193" s="152"/>
      <c r="HA193" s="152"/>
      <c r="HB193" s="152"/>
      <c r="HC193" s="152"/>
      <c r="HD193" s="152"/>
      <c r="HE193" s="152"/>
      <c r="HF193" s="152"/>
      <c r="HG193" s="152"/>
      <c r="HH193" s="152"/>
      <c r="HI193" s="152"/>
      <c r="HJ193" s="152"/>
      <c r="HK193" s="152"/>
      <c r="HL193" s="152"/>
      <c r="HM193" s="152"/>
      <c r="HN193" s="152"/>
      <c r="HO193" s="152"/>
      <c r="HP193" s="152"/>
      <c r="HQ193" s="152"/>
      <c r="HR193" s="152"/>
      <c r="HS193" s="152"/>
      <c r="HT193" s="152"/>
      <c r="HU193" s="152"/>
      <c r="HV193" s="152"/>
      <c r="HW193" s="152"/>
      <c r="HX193" s="152"/>
      <c r="HY193" s="152"/>
      <c r="HZ193" s="152"/>
      <c r="IA193" s="152"/>
      <c r="IB193" s="152"/>
      <c r="IC193" s="152"/>
      <c r="ID193" s="152"/>
      <c r="IE193" s="152"/>
      <c r="IF193" s="152"/>
      <c r="IG193" s="152"/>
      <c r="IH193" s="152"/>
      <c r="II193" s="152"/>
      <c r="IJ193" s="152"/>
      <c r="IK193" s="152"/>
      <c r="IL193" s="152"/>
      <c r="IM193" s="152"/>
      <c r="IN193" s="152"/>
      <c r="IO193" s="152"/>
      <c r="IP193" s="152"/>
      <c r="IQ193" s="152"/>
      <c r="IR193" s="152"/>
      <c r="IS193" s="152"/>
      <c r="IT193" s="152"/>
      <c r="IU193" s="152"/>
      <c r="IV193" s="152"/>
      <c r="IW193" s="152"/>
    </row>
    <row r="194" customFormat="false" ht="12.75" hidden="false" customHeight="false" outlineLevel="0" collapsed="false">
      <c r="A194" s="95"/>
      <c r="B194" s="115"/>
      <c r="C194" s="115"/>
      <c r="D194" s="115"/>
      <c r="E194" s="154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89"/>
      <c r="Q194" s="147"/>
      <c r="R194" s="147"/>
      <c r="S194" s="148"/>
      <c r="T194" s="115"/>
      <c r="U194" s="115"/>
      <c r="X194" s="145"/>
      <c r="Z194" s="145"/>
      <c r="AB194" s="145"/>
    </row>
    <row r="195" customFormat="false" ht="12.75" hidden="false" customHeight="false" outlineLevel="0" collapsed="false">
      <c r="A195" s="92" t="s">
        <v>24</v>
      </c>
      <c r="B195" s="115"/>
      <c r="C195" s="115"/>
      <c r="D195" s="115"/>
      <c r="E195" s="154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89"/>
      <c r="Q195" s="89"/>
      <c r="R195" s="89"/>
      <c r="S195" s="148"/>
      <c r="T195" s="115"/>
      <c r="U195" s="115"/>
    </row>
    <row r="196" customFormat="false" ht="12.75" hidden="false" customHeight="false" outlineLevel="0" collapsed="false">
      <c r="A196" s="95" t="s">
        <v>14</v>
      </c>
      <c r="B196" s="96" t="n">
        <f aca="false">5215-B197</f>
        <v>4443.7</v>
      </c>
      <c r="C196" s="96" t="n">
        <f aca="false">7612-665</f>
        <v>6947</v>
      </c>
      <c r="D196" s="96" t="n">
        <v>-1016.4</v>
      </c>
      <c r="E196" s="96" t="n">
        <v>3944.2</v>
      </c>
      <c r="F196" s="96" t="n">
        <v>4440</v>
      </c>
      <c r="G196" s="96" t="n">
        <v>4046.7</v>
      </c>
      <c r="H196" s="96" t="n">
        <f aca="false">5173.1-H197</f>
        <v>4436.2</v>
      </c>
      <c r="I196" s="96" t="n">
        <f aca="false">5132.8-I197</f>
        <v>4482.1</v>
      </c>
      <c r="J196" s="96" t="n">
        <f aca="false">4989.4-J197+11.1</f>
        <v>4370.752</v>
      </c>
      <c r="K196" s="96" t="n">
        <f aca="false">Detail!W74/1000-K197</f>
        <v>4500.0090544</v>
      </c>
      <c r="L196" s="96" t="n">
        <f aca="false">Detail!X74/1000-L197</f>
        <v>4329.03804</v>
      </c>
      <c r="M196" s="96" t="n">
        <f aca="false">Detail!Y74/1000-M197</f>
        <v>4472.48625</v>
      </c>
      <c r="N196" s="56" t="n">
        <f aca="false">SUM(B196:M196)</f>
        <v>49395.7853444</v>
      </c>
      <c r="O196" s="148" t="n">
        <f aca="false">SUM(B196:D196)</f>
        <v>10374.3</v>
      </c>
      <c r="P196" s="148" t="n">
        <f aca="false">SUM(E196:G196)</f>
        <v>12430.9</v>
      </c>
      <c r="Q196" s="148" t="n">
        <f aca="false">SUM(H196:J196)</f>
        <v>13289.052</v>
      </c>
      <c r="R196" s="148" t="n">
        <f aca="false">SUM(K196:M196)</f>
        <v>13301.5333444</v>
      </c>
      <c r="S196" s="148" t="n">
        <f aca="false">SUM(O196:R196)</f>
        <v>49395.7853444</v>
      </c>
      <c r="T196" s="56" t="n">
        <f aca="false">51950.1130344+6109.628-517.9+70</f>
        <v>57611.8410344</v>
      </c>
      <c r="U196" s="56" t="n">
        <f aca="false">51950.1130344+24239.785-517.9+70</f>
        <v>75741.9980344</v>
      </c>
    </row>
    <row r="197" customFormat="false" ht="12.75" hidden="false" customHeight="false" outlineLevel="0" collapsed="false">
      <c r="A197" s="95" t="s">
        <v>16</v>
      </c>
      <c r="B197" s="96" t="n">
        <v>771.3</v>
      </c>
      <c r="C197" s="96" t="n">
        <v>665</v>
      </c>
      <c r="D197" s="96" t="n">
        <v>737.6</v>
      </c>
      <c r="E197" s="96" t="n">
        <v>713.1</v>
      </c>
      <c r="F197" s="96" t="n">
        <v>736.9</v>
      </c>
      <c r="G197" s="96" t="n">
        <v>715.2</v>
      </c>
      <c r="H197" s="96" t="n">
        <v>736.9</v>
      </c>
      <c r="I197" s="96" t="n">
        <v>650.7</v>
      </c>
      <c r="J197" s="96" t="n">
        <f aca="false">Detail!V104/1000</f>
        <v>629.748</v>
      </c>
      <c r="K197" s="96" t="n">
        <f aca="false">Detail!W104/1000</f>
        <v>650.7396</v>
      </c>
      <c r="L197" s="96"/>
      <c r="M197" s="96"/>
      <c r="N197" s="56" t="n">
        <f aca="false">SUM(B197:M197)</f>
        <v>7007.1876</v>
      </c>
      <c r="O197" s="148" t="n">
        <f aca="false">SUM(B197:D197)</f>
        <v>2173.9</v>
      </c>
      <c r="P197" s="148" t="n">
        <f aca="false">SUM(E197:G197)</f>
        <v>2165.2</v>
      </c>
      <c r="Q197" s="148" t="n">
        <f aca="false">SUM(H197:J197)</f>
        <v>2017.348</v>
      </c>
      <c r="R197" s="148" t="n">
        <f aca="false">SUM(K197:M197)</f>
        <v>650.7396</v>
      </c>
      <c r="S197" s="148" t="n">
        <f aca="false">SUM(O197:R197)</f>
        <v>7007.1876</v>
      </c>
      <c r="T197" s="56"/>
      <c r="U197" s="56"/>
    </row>
    <row r="198" customFormat="false" ht="12.75" hidden="false" customHeight="false" outlineLevel="0" collapsed="false">
      <c r="A198" s="95" t="s">
        <v>18</v>
      </c>
      <c r="B198" s="96" t="n">
        <v>333</v>
      </c>
      <c r="C198" s="96" t="n">
        <v>310</v>
      </c>
      <c r="D198" s="96" t="n">
        <v>345.7</v>
      </c>
      <c r="E198" s="96" t="n">
        <v>253.9</v>
      </c>
      <c r="F198" s="96" t="n">
        <v>284.4</v>
      </c>
      <c r="G198" s="96" t="n">
        <v>292.4</v>
      </c>
      <c r="H198" s="96" t="n">
        <v>310.3</v>
      </c>
      <c r="I198" s="96" t="n">
        <v>383</v>
      </c>
      <c r="J198" s="96" t="n">
        <v>286.4</v>
      </c>
      <c r="K198" s="96" t="n">
        <f aca="false">Detail!W97/1000</f>
        <v>332.788751</v>
      </c>
      <c r="L198" s="96" t="n">
        <f aca="false">Detail!X97/1000</f>
        <v>381.9771</v>
      </c>
      <c r="M198" s="96" t="n">
        <f aca="false">Detail!Y97/1000</f>
        <v>330.47705</v>
      </c>
      <c r="N198" s="56" t="n">
        <f aca="false">SUM(B198:M198)</f>
        <v>3844.342901</v>
      </c>
      <c r="O198" s="148" t="n">
        <f aca="false">SUM(B198:D198)</f>
        <v>988.7</v>
      </c>
      <c r="P198" s="148" t="n">
        <f aca="false">SUM(E198:G198)</f>
        <v>830.7</v>
      </c>
      <c r="Q198" s="148" t="n">
        <f aca="false">SUM(H198:J198)</f>
        <v>979.7</v>
      </c>
      <c r="R198" s="148" t="n">
        <f aca="false">SUM(K198:M198)</f>
        <v>1045.242901</v>
      </c>
      <c r="S198" s="148" t="n">
        <f aca="false">SUM(O198:R198)</f>
        <v>3844.342901</v>
      </c>
      <c r="T198" s="56" t="n">
        <f aca="false">3251.144481+192.372+529.2</f>
        <v>3972.716481</v>
      </c>
      <c r="U198" s="56" t="n">
        <f aca="false">3251.144481+763.215+529.2</f>
        <v>4543.559481</v>
      </c>
      <c r="W198" s="108"/>
      <c r="Y198" s="108"/>
      <c r="AA198" s="108"/>
    </row>
    <row r="199" customFormat="false" ht="12.75" hidden="false" customHeight="false" outlineLevel="0" collapsed="false">
      <c r="A199" s="95" t="s">
        <v>20</v>
      </c>
      <c r="B199" s="96" t="n">
        <v>10</v>
      </c>
      <c r="C199" s="96" t="n">
        <v>9</v>
      </c>
      <c r="D199" s="96" t="n">
        <v>9.2</v>
      </c>
      <c r="E199" s="96" t="n">
        <v>6.3</v>
      </c>
      <c r="F199" s="96" t="n">
        <v>7.7</v>
      </c>
      <c r="G199" s="96" t="n">
        <v>6.9</v>
      </c>
      <c r="H199" s="96" t="n">
        <v>4.7</v>
      </c>
      <c r="I199" s="96" t="n">
        <v>4.6</v>
      </c>
      <c r="J199" s="96" t="n">
        <v>0</v>
      </c>
      <c r="K199" s="96" t="n">
        <v>0</v>
      </c>
      <c r="L199" s="96" t="n">
        <v>0</v>
      </c>
      <c r="M199" s="96" t="n">
        <v>0</v>
      </c>
      <c r="N199" s="56" t="n">
        <f aca="false">SUM(B199:M199)</f>
        <v>58.4</v>
      </c>
      <c r="O199" s="148" t="n">
        <f aca="false">SUM(B199:D199)</f>
        <v>28.2</v>
      </c>
      <c r="P199" s="148" t="n">
        <f aca="false">SUM(E199:G199)</f>
        <v>20.9</v>
      </c>
      <c r="Q199" s="148" t="n">
        <f aca="false">SUM(H199:J199)</f>
        <v>9.3</v>
      </c>
      <c r="R199" s="148" t="n">
        <f aca="false">SUM(K199:M199)</f>
        <v>0</v>
      </c>
      <c r="S199" s="148" t="n">
        <f aca="false">SUM(O199:R199)</f>
        <v>58.4</v>
      </c>
      <c r="T199" s="56" t="n">
        <v>0</v>
      </c>
      <c r="U199" s="56" t="n">
        <v>0</v>
      </c>
      <c r="W199" s="108"/>
      <c r="Y199" s="108"/>
      <c r="AA199" s="108"/>
    </row>
    <row r="200" customFormat="false" ht="12.75" hidden="false" customHeight="false" outlineLevel="0" collapsed="false">
      <c r="A200" s="95" t="s">
        <v>25</v>
      </c>
      <c r="B200" s="96" t="n">
        <v>20</v>
      </c>
      <c r="C200" s="96" t="n">
        <v>17</v>
      </c>
      <c r="D200" s="96" t="n">
        <v>9.5</v>
      </c>
      <c r="E200" s="96" t="n">
        <v>0</v>
      </c>
      <c r="F200" s="96" t="n">
        <v>0</v>
      </c>
      <c r="G200" s="96" t="n">
        <v>0</v>
      </c>
      <c r="H200" s="96" t="n">
        <v>0</v>
      </c>
      <c r="I200" s="96" t="n">
        <v>0</v>
      </c>
      <c r="J200" s="96" t="n">
        <v>0</v>
      </c>
      <c r="K200" s="96" t="n">
        <v>0</v>
      </c>
      <c r="L200" s="96" t="n">
        <v>0</v>
      </c>
      <c r="M200" s="96" t="n">
        <v>0</v>
      </c>
      <c r="N200" s="56" t="n">
        <f aca="false">SUM(B200:M200)</f>
        <v>46.5</v>
      </c>
      <c r="O200" s="148" t="n">
        <f aca="false">SUM(B200:D200)</f>
        <v>46.5</v>
      </c>
      <c r="P200" s="148" t="n">
        <f aca="false">SUM(E200:G200)</f>
        <v>0</v>
      </c>
      <c r="Q200" s="148" t="n">
        <f aca="false">SUM(H200:J200)</f>
        <v>0</v>
      </c>
      <c r="R200" s="148" t="n">
        <f aca="false">SUM(K200:M200)</f>
        <v>0</v>
      </c>
      <c r="S200" s="148" t="n">
        <f aca="false">SUM(O200:R200)</f>
        <v>46.5</v>
      </c>
      <c r="T200" s="56"/>
      <c r="U200" s="56"/>
      <c r="W200" s="108"/>
      <c r="Y200" s="108"/>
      <c r="AA200" s="108"/>
    </row>
    <row r="201" customFormat="false" ht="12.75" hidden="false" customHeight="false" outlineLevel="0" collapsed="false">
      <c r="A201" s="95" t="s">
        <v>22</v>
      </c>
      <c r="B201" s="99"/>
      <c r="C201" s="99" t="n">
        <v>0</v>
      </c>
      <c r="D201" s="99" t="n">
        <v>0</v>
      </c>
      <c r="E201" s="99" t="n">
        <v>0</v>
      </c>
      <c r="F201" s="99" t="n">
        <v>0</v>
      </c>
      <c r="G201" s="99" t="n">
        <v>0</v>
      </c>
      <c r="H201" s="99" t="n">
        <v>0</v>
      </c>
      <c r="I201" s="99" t="n">
        <v>0.01</v>
      </c>
      <c r="J201" s="99" t="n">
        <v>0</v>
      </c>
      <c r="K201" s="99" t="n">
        <f aca="false">Detail!W101/1000</f>
        <v>21.7</v>
      </c>
      <c r="L201" s="99" t="n">
        <f aca="false">Detail!X101/1000</f>
        <v>21</v>
      </c>
      <c r="M201" s="99" t="n">
        <f aca="false">Detail!Y101/1000</f>
        <v>40.3</v>
      </c>
      <c r="N201" s="100" t="n">
        <f aca="false">SUM(B201:M201)</f>
        <v>83.01</v>
      </c>
      <c r="O201" s="148" t="n">
        <f aca="false">SUM(B201:D201)</f>
        <v>0</v>
      </c>
      <c r="P201" s="148" t="n">
        <f aca="false">SUM(E201:G201)</f>
        <v>0</v>
      </c>
      <c r="Q201" s="148" t="n">
        <f aca="false">SUM(H201:J201)</f>
        <v>0.01</v>
      </c>
      <c r="R201" s="148" t="n">
        <f aca="false">SUM(K201:M201)</f>
        <v>83</v>
      </c>
      <c r="S201" s="148" t="n">
        <f aca="false">SUM(O201:R201)</f>
        <v>83.01</v>
      </c>
      <c r="T201" s="100" t="n">
        <v>138</v>
      </c>
      <c r="U201" s="100" t="n">
        <v>138</v>
      </c>
      <c r="X201" s="108"/>
      <c r="Z201" s="108"/>
      <c r="AB201" s="108"/>
    </row>
    <row r="202" customFormat="false" ht="12.75" hidden="false" customHeight="false" outlineLevel="0" collapsed="false">
      <c r="A202" s="92" t="s">
        <v>26</v>
      </c>
      <c r="B202" s="20" t="n">
        <f aca="false">SUM(B196:B201)</f>
        <v>5578</v>
      </c>
      <c r="C202" s="20" t="n">
        <f aca="false">SUM(C196:C201)</f>
        <v>7948</v>
      </c>
      <c r="D202" s="20" t="n">
        <f aca="false">SUM(D196:D201)</f>
        <v>85.6</v>
      </c>
      <c r="E202" s="20" t="n">
        <f aca="false">SUM(E196:E201)</f>
        <v>4917.5</v>
      </c>
      <c r="F202" s="20" t="n">
        <f aca="false">SUM(F196:F201)</f>
        <v>5469</v>
      </c>
      <c r="G202" s="20" t="n">
        <f aca="false">SUM(G196:G201)</f>
        <v>5061.2</v>
      </c>
      <c r="H202" s="20" t="n">
        <f aca="false">SUM(H196:H201)</f>
        <v>5488.1</v>
      </c>
      <c r="I202" s="20" t="n">
        <f aca="false">SUM(I196:I201)</f>
        <v>5520.41</v>
      </c>
      <c r="J202" s="20" t="n">
        <f aca="false">SUM(J196:J201)</f>
        <v>5286.9</v>
      </c>
      <c r="K202" s="20" t="n">
        <f aca="false">SUM(K196:K201)</f>
        <v>5505.2374054</v>
      </c>
      <c r="L202" s="20" t="n">
        <f aca="false">SUM(L196:L201)</f>
        <v>4732.01514</v>
      </c>
      <c r="M202" s="20" t="n">
        <f aca="false">SUM(M196:M201)</f>
        <v>4843.2633</v>
      </c>
      <c r="N202" s="20" t="n">
        <f aca="false">SUM(N196:N201)</f>
        <v>60435.2258454</v>
      </c>
      <c r="O202" s="155" t="n">
        <f aca="false">SUM(O196:O201)</f>
        <v>13611.6</v>
      </c>
      <c r="P202" s="155" t="n">
        <f aca="false">SUM(P196:P201)</f>
        <v>15447.7</v>
      </c>
      <c r="Q202" s="155" t="n">
        <f aca="false">SUM(Q196:Q201)</f>
        <v>16295.41</v>
      </c>
      <c r="R202" s="155" t="n">
        <f aca="false">SUM(R196:R201)</f>
        <v>15080.5158454</v>
      </c>
      <c r="S202" s="155" t="n">
        <f aca="false">SUM(S196:S201)</f>
        <v>60435.2258454</v>
      </c>
      <c r="T202" s="20" t="n">
        <f aca="false">SUM(T196:T201)</f>
        <v>61722.5575154</v>
      </c>
      <c r="U202" s="20" t="n">
        <f aca="false">SUM(U196:U201)</f>
        <v>80423.5575154</v>
      </c>
      <c r="X202" s="108"/>
      <c r="Z202" s="108"/>
      <c r="AB202" s="108"/>
    </row>
    <row r="203" customFormat="false" ht="12.75" hidden="false" customHeight="false" outlineLevel="0" collapsed="false">
      <c r="A203" s="9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89"/>
      <c r="Q203" s="147"/>
      <c r="R203" s="147"/>
      <c r="S203" s="148"/>
      <c r="T203" s="115"/>
      <c r="U203" s="115"/>
      <c r="X203" s="145"/>
      <c r="Z203" s="145"/>
      <c r="AB203" s="145"/>
    </row>
    <row r="204" customFormat="false" ht="12.75" hidden="false" customHeight="false" outlineLevel="0" collapsed="false">
      <c r="A204" s="92" t="s">
        <v>27</v>
      </c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48"/>
      <c r="Q204" s="147"/>
      <c r="R204" s="147"/>
      <c r="S204" s="148"/>
      <c r="T204" s="115"/>
      <c r="U204" s="115"/>
    </row>
    <row r="205" customFormat="false" ht="12.75" hidden="false" customHeight="false" outlineLevel="0" collapsed="false">
      <c r="A205" s="95" t="s">
        <v>14</v>
      </c>
      <c r="B205" s="96" t="n">
        <v>300</v>
      </c>
      <c r="C205" s="96" t="n">
        <v>263</v>
      </c>
      <c r="D205" s="96" t="n">
        <v>291.9</v>
      </c>
      <c r="E205" s="96" t="n">
        <v>248.3</v>
      </c>
      <c r="F205" s="96" t="n">
        <v>293.6</v>
      </c>
      <c r="G205" s="96" t="n">
        <v>283.8</v>
      </c>
      <c r="H205" s="96" t="n">
        <v>292.1</v>
      </c>
      <c r="I205" s="96" t="n">
        <v>292.5</v>
      </c>
      <c r="J205" s="96" t="n">
        <v>284.9</v>
      </c>
      <c r="K205" s="96" t="n">
        <f aca="false">Detail!W269/1000</f>
        <v>296.0934</v>
      </c>
      <c r="L205" s="96" t="n">
        <f aca="false">Detail!X269/1000</f>
        <v>286.542</v>
      </c>
      <c r="M205" s="96" t="n">
        <f aca="false">Detail!Y269/1000</f>
        <v>305.3934</v>
      </c>
      <c r="N205" s="56" t="n">
        <f aca="false">SUM(B205:M205)</f>
        <v>3438.1288</v>
      </c>
      <c r="O205" s="148" t="n">
        <f aca="false">SUM(B205:D205)</f>
        <v>854.9</v>
      </c>
      <c r="P205" s="148" t="n">
        <f aca="false">SUM(E205:G205)</f>
        <v>825.7</v>
      </c>
      <c r="Q205" s="148" t="n">
        <f aca="false">SUM(H205:J205)</f>
        <v>869.5</v>
      </c>
      <c r="R205" s="148" t="n">
        <f aca="false">SUM(K205:M205)</f>
        <v>888.0288</v>
      </c>
      <c r="S205" s="148" t="n">
        <f aca="false">SUM(O205:R205)</f>
        <v>3438.1288</v>
      </c>
      <c r="T205" s="56" t="n">
        <f aca="false">3495.561+35382.74</f>
        <v>38878.301</v>
      </c>
      <c r="U205" s="56" t="n">
        <f aca="false">3495.561+140377.2</f>
        <v>143872.761</v>
      </c>
    </row>
    <row r="206" customFormat="false" ht="12.75" hidden="false" customHeight="false" outlineLevel="0" collapsed="false">
      <c r="A206" s="95" t="s">
        <v>18</v>
      </c>
      <c r="B206" s="96" t="n">
        <v>34</v>
      </c>
      <c r="C206" s="96" t="n">
        <v>31</v>
      </c>
      <c r="D206" s="96" t="n">
        <v>33.6</v>
      </c>
      <c r="E206" s="96" t="n">
        <v>24.7</v>
      </c>
      <c r="F206" s="96" t="n">
        <v>31.9</v>
      </c>
      <c r="G206" s="96" t="n">
        <v>31.2</v>
      </c>
      <c r="H206" s="96" t="n">
        <v>33.4</v>
      </c>
      <c r="I206" s="96" t="n">
        <v>33</v>
      </c>
      <c r="J206" s="96" t="n">
        <v>30.1</v>
      </c>
      <c r="K206" s="96" t="n">
        <f aca="false">Detail!W275/1000</f>
        <v>29.4066</v>
      </c>
      <c r="L206" s="96" t="n">
        <f aca="false">Detail!X275/1000</f>
        <v>28.458</v>
      </c>
      <c r="M206" s="96" t="n">
        <f aca="false">Detail!Y275/1000</f>
        <v>29.4066</v>
      </c>
      <c r="N206" s="56" t="n">
        <f aca="false">SUM(B206:M206)</f>
        <v>370.1712</v>
      </c>
      <c r="O206" s="148" t="n">
        <f aca="false">SUM(B206:D206)</f>
        <v>98.6</v>
      </c>
      <c r="P206" s="148" t="n">
        <f aca="false">SUM(E206:G206)</f>
        <v>87.8</v>
      </c>
      <c r="Q206" s="148" t="n">
        <f aca="false">SUM(H206:J206)</f>
        <v>96.5</v>
      </c>
      <c r="R206" s="148" t="n">
        <f aca="false">SUM(K206:M206)</f>
        <v>87.2712</v>
      </c>
      <c r="S206" s="148" t="n">
        <f aca="false">SUM(O206:R206)</f>
        <v>370.1712</v>
      </c>
      <c r="T206" s="56" t="n">
        <f aca="false">346.239+727.26</f>
        <v>1073.499</v>
      </c>
      <c r="U206" s="56" t="n">
        <f aca="false">346.239+2885.3</f>
        <v>3231.539</v>
      </c>
    </row>
    <row r="207" customFormat="false" ht="12.75" hidden="false" customHeight="false" outlineLevel="0" collapsed="false">
      <c r="A207" s="107"/>
      <c r="B207" s="149"/>
      <c r="C207" s="96" t="n">
        <v>0</v>
      </c>
      <c r="D207" s="96" t="n">
        <v>0</v>
      </c>
      <c r="E207" s="96" t="n">
        <v>0</v>
      </c>
      <c r="F207" s="96" t="n">
        <v>0</v>
      </c>
      <c r="G207" s="96" t="n">
        <v>0</v>
      </c>
      <c r="H207" s="96" t="n">
        <v>0</v>
      </c>
      <c r="I207" s="96" t="n">
        <v>0</v>
      </c>
      <c r="J207" s="96" t="n">
        <v>0</v>
      </c>
      <c r="K207" s="96" t="n">
        <v>0</v>
      </c>
      <c r="L207" s="96" t="n">
        <f aca="false">33.7-33.7</f>
        <v>0</v>
      </c>
      <c r="M207" s="96" t="n">
        <f aca="false">34.6-34.6</f>
        <v>0</v>
      </c>
      <c r="N207" s="56" t="n">
        <f aca="false">SUM(B207:M207)</f>
        <v>0</v>
      </c>
      <c r="O207" s="148" t="n">
        <f aca="false">SUM(B207:D207)</f>
        <v>0</v>
      </c>
      <c r="P207" s="148" t="n">
        <f aca="false">SUM(E207:G207)</f>
        <v>0</v>
      </c>
      <c r="Q207" s="148" t="n">
        <f aca="false">SUM(H207:J207)</f>
        <v>0</v>
      </c>
      <c r="R207" s="148" t="n">
        <f aca="false">SUM(K207:M207)</f>
        <v>0</v>
      </c>
      <c r="S207" s="148" t="n">
        <f aca="false">SUM(O207:R207)</f>
        <v>0</v>
      </c>
      <c r="T207" s="56" t="n">
        <v>0</v>
      </c>
      <c r="U207" s="56" t="n">
        <v>0</v>
      </c>
      <c r="W207" s="108"/>
      <c r="Y207" s="108"/>
      <c r="AA207" s="108"/>
    </row>
    <row r="208" customFormat="false" ht="12.75" hidden="false" customHeight="false" outlineLevel="0" collapsed="false">
      <c r="A208" s="95" t="s">
        <v>22</v>
      </c>
      <c r="B208" s="99" t="n">
        <v>0</v>
      </c>
      <c r="C208" s="99" t="n">
        <v>0</v>
      </c>
      <c r="D208" s="99" t="n">
        <v>0</v>
      </c>
      <c r="E208" s="99" t="n">
        <v>0</v>
      </c>
      <c r="F208" s="99" t="n">
        <v>0</v>
      </c>
      <c r="G208" s="99" t="n">
        <v>0</v>
      </c>
      <c r="H208" s="99" t="n">
        <v>0</v>
      </c>
      <c r="I208" s="99" t="n">
        <v>0</v>
      </c>
      <c r="J208" s="99" t="n">
        <v>0</v>
      </c>
      <c r="K208" s="99" t="n">
        <v>0</v>
      </c>
      <c r="L208" s="99" t="n">
        <v>0</v>
      </c>
      <c r="M208" s="99" t="n">
        <v>0</v>
      </c>
      <c r="N208" s="100" t="n">
        <f aca="false">SUM(B208:M208)</f>
        <v>0</v>
      </c>
      <c r="O208" s="148" t="n">
        <f aca="false">SUM(B208:D208)</f>
        <v>0</v>
      </c>
      <c r="P208" s="148" t="n">
        <f aca="false">SUM(E208:G208)</f>
        <v>0</v>
      </c>
      <c r="Q208" s="148" t="n">
        <f aca="false">SUM(H208:J208)</f>
        <v>0</v>
      </c>
      <c r="R208" s="148" t="n">
        <f aca="false">SUM(K208:M208)</f>
        <v>0</v>
      </c>
      <c r="S208" s="148" t="n">
        <f aca="false">SUM(O208:R208)</f>
        <v>0</v>
      </c>
      <c r="T208" s="100" t="n">
        <v>0</v>
      </c>
      <c r="U208" s="100" t="n">
        <v>0</v>
      </c>
      <c r="X208" s="108"/>
      <c r="Z208" s="108"/>
      <c r="AB208" s="108"/>
    </row>
    <row r="209" customFormat="false" ht="12.75" hidden="false" customHeight="false" outlineLevel="0" collapsed="false">
      <c r="A209" s="92" t="s">
        <v>28</v>
      </c>
      <c r="B209" s="20" t="n">
        <f aca="false">SUM(B205:B208)</f>
        <v>334</v>
      </c>
      <c r="C209" s="20" t="n">
        <f aca="false">SUM(C205:C208)</f>
        <v>294</v>
      </c>
      <c r="D209" s="20" t="n">
        <f aca="false">SUM(D205:D208)</f>
        <v>325.5</v>
      </c>
      <c r="E209" s="20" t="n">
        <f aca="false">SUM(E205:E208)</f>
        <v>273</v>
      </c>
      <c r="F209" s="20" t="n">
        <f aca="false">SUM(F205:F208)</f>
        <v>325.5</v>
      </c>
      <c r="G209" s="20" t="n">
        <f aca="false">SUM(G205:G208)</f>
        <v>315</v>
      </c>
      <c r="H209" s="20" t="n">
        <f aca="false">SUM(H205:H208)</f>
        <v>325.5</v>
      </c>
      <c r="I209" s="20" t="n">
        <f aca="false">SUM(I205:I208)</f>
        <v>325.5</v>
      </c>
      <c r="J209" s="20" t="n">
        <f aca="false">SUM(J205:J208)</f>
        <v>315</v>
      </c>
      <c r="K209" s="20" t="n">
        <f aca="false">SUM(K205:K208)</f>
        <v>325.5</v>
      </c>
      <c r="L209" s="20" t="n">
        <f aca="false">SUM(L205:L208)</f>
        <v>315</v>
      </c>
      <c r="M209" s="20" t="n">
        <f aca="false">SUM(M205:M208)</f>
        <v>334.8</v>
      </c>
      <c r="N209" s="20" t="n">
        <f aca="false">SUM(N205:N208)</f>
        <v>3808.3</v>
      </c>
      <c r="O209" s="156" t="n">
        <f aca="false">SUM(O205:O208)</f>
        <v>953.5</v>
      </c>
      <c r="P209" s="156" t="n">
        <f aca="false">SUM(P205:P208)</f>
        <v>913.5</v>
      </c>
      <c r="Q209" s="156" t="n">
        <f aca="false">SUM(Q205:Q208)</f>
        <v>966</v>
      </c>
      <c r="R209" s="156" t="n">
        <f aca="false">SUM(R205:R208)</f>
        <v>975.3</v>
      </c>
      <c r="S209" s="156" t="n">
        <f aca="false">SUM(S205:S208)</f>
        <v>3808.3</v>
      </c>
      <c r="T209" s="20" t="n">
        <f aca="false">SUM(T205:T208)</f>
        <v>39951.8</v>
      </c>
      <c r="U209" s="20" t="n">
        <f aca="false">SUM(U205:U208)</f>
        <v>147104.3</v>
      </c>
      <c r="X209" s="108"/>
      <c r="Z209" s="108"/>
      <c r="AB209" s="108"/>
    </row>
    <row r="210" customFormat="false" ht="12.75" hidden="false" customHeight="false" outlineLevel="0" collapsed="false">
      <c r="A210" s="9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89"/>
      <c r="Q210" s="147"/>
      <c r="R210" s="148"/>
      <c r="S210" s="148"/>
      <c r="T210" s="115"/>
      <c r="U210" s="115"/>
      <c r="X210" s="108"/>
      <c r="Z210" s="108"/>
      <c r="AB210" s="108"/>
    </row>
    <row r="211" customFormat="false" ht="12.75" hidden="false" customHeight="false" outlineLevel="0" collapsed="false">
      <c r="A211" s="92" t="s">
        <v>29</v>
      </c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48"/>
      <c r="Q211" s="147" t="n">
        <f aca="false">N211-P211</f>
        <v>0</v>
      </c>
      <c r="R211" s="147" t="n">
        <f aca="false">N211</f>
        <v>0</v>
      </c>
      <c r="S211" s="148"/>
      <c r="T211" s="115"/>
      <c r="U211" s="115"/>
    </row>
    <row r="212" customFormat="false" ht="12.75" hidden="false" customHeight="false" outlineLevel="0" collapsed="false">
      <c r="A212" s="95" t="s">
        <v>14</v>
      </c>
      <c r="B212" s="96" t="n">
        <v>944</v>
      </c>
      <c r="C212" s="96" t="n">
        <v>3817</v>
      </c>
      <c r="D212" s="96" t="n">
        <v>1006</v>
      </c>
      <c r="E212" s="96" t="n">
        <v>960.3</v>
      </c>
      <c r="F212" s="96" t="n">
        <v>949.6</v>
      </c>
      <c r="G212" s="96" t="n">
        <v>930.8</v>
      </c>
      <c r="H212" s="96" t="n">
        <v>959</v>
      </c>
      <c r="I212" s="96" t="n">
        <v>961.8</v>
      </c>
      <c r="J212" s="96" t="n">
        <v>940</v>
      </c>
      <c r="K212" s="96" t="n">
        <f aca="false">Detail!W231/1000</f>
        <v>958.753678</v>
      </c>
      <c r="L212" s="96" t="n">
        <f aca="false">Detail!X231/1000</f>
        <v>1004.3787</v>
      </c>
      <c r="M212" s="96" t="n">
        <f aca="false">Detail!Y231/1000</f>
        <v>1459.7236972</v>
      </c>
      <c r="N212" s="56" t="n">
        <f aca="false">SUM(B212:M212)</f>
        <v>14891.3560752</v>
      </c>
      <c r="O212" s="148" t="n">
        <f aca="false">SUM(B212:D212)</f>
        <v>5767</v>
      </c>
      <c r="P212" s="148" t="n">
        <f aca="false">SUM(E212:G212)</f>
        <v>2840.7</v>
      </c>
      <c r="Q212" s="148" t="n">
        <f aca="false">SUM(H212:J212)</f>
        <v>2860.8</v>
      </c>
      <c r="R212" s="148" t="n">
        <f aca="false">SUM(K212:M212)</f>
        <v>3422.8560752</v>
      </c>
      <c r="S212" s="148" t="n">
        <f aca="false">SUM(O212:R212)</f>
        <v>14891.3560752</v>
      </c>
      <c r="T212" s="56" t="n">
        <v>11303.9798068</v>
      </c>
      <c r="U212" s="56" t="n">
        <v>11303.9798068</v>
      </c>
    </row>
    <row r="213" customFormat="false" ht="12.75" hidden="false" customHeight="false" outlineLevel="0" collapsed="false">
      <c r="A213" s="95" t="s">
        <v>18</v>
      </c>
      <c r="B213" s="96" t="n">
        <v>104</v>
      </c>
      <c r="C213" s="96" t="n">
        <v>103</v>
      </c>
      <c r="D213" s="96" t="n">
        <v>116.2</v>
      </c>
      <c r="E213" s="96" t="n">
        <v>91.3</v>
      </c>
      <c r="F213" s="96" t="n">
        <v>91.8</v>
      </c>
      <c r="G213" s="96" t="n">
        <v>96.1</v>
      </c>
      <c r="H213" s="96" t="n">
        <v>102.3</v>
      </c>
      <c r="I213" s="96" t="n">
        <v>144.4</v>
      </c>
      <c r="J213" s="96" t="n">
        <v>85.1</v>
      </c>
      <c r="K213" s="96" t="n">
        <f aca="false">Detail!W246/1000</f>
        <v>100.570572</v>
      </c>
      <c r="L213" s="96" t="n">
        <f aca="false">Detail!X246/1000</f>
        <v>110.7738</v>
      </c>
      <c r="M213" s="96" t="n">
        <f aca="false">Detail!Y246/1000</f>
        <v>119.9774028</v>
      </c>
      <c r="N213" s="56" t="n">
        <f aca="false">SUM(B213:M213)</f>
        <v>1265.5217748</v>
      </c>
      <c r="O213" s="148" t="n">
        <f aca="false">SUM(B213:D213)</f>
        <v>323.2</v>
      </c>
      <c r="P213" s="148" t="n">
        <f aca="false">SUM(E213:G213)</f>
        <v>279.2</v>
      </c>
      <c r="Q213" s="148" t="n">
        <f aca="false">SUM(H213:J213)</f>
        <v>331.8</v>
      </c>
      <c r="R213" s="148" t="n">
        <f aca="false">SUM(K213:M213)</f>
        <v>331.3217748</v>
      </c>
      <c r="S213" s="148" t="n">
        <f aca="false">SUM(O213:R213)</f>
        <v>1265.5217748</v>
      </c>
      <c r="T213" s="56" t="n">
        <v>1170.4089432</v>
      </c>
      <c r="U213" s="56" t="n">
        <v>1170.4089432</v>
      </c>
      <c r="W213" s="108"/>
      <c r="Y213" s="108"/>
      <c r="AA213" s="108"/>
    </row>
    <row r="214" customFormat="false" ht="12.75" hidden="false" customHeight="false" outlineLevel="0" collapsed="false">
      <c r="A214" s="95" t="s">
        <v>20</v>
      </c>
      <c r="B214" s="96" t="n">
        <v>0</v>
      </c>
      <c r="C214" s="96" t="n">
        <v>0</v>
      </c>
      <c r="D214" s="96" t="n">
        <v>0</v>
      </c>
      <c r="E214" s="96" t="n">
        <v>0</v>
      </c>
      <c r="F214" s="96" t="n">
        <v>0</v>
      </c>
      <c r="G214" s="96" t="n">
        <v>0</v>
      </c>
      <c r="H214" s="96" t="n">
        <v>0</v>
      </c>
      <c r="I214" s="96" t="n">
        <v>0</v>
      </c>
      <c r="J214" s="96" t="n">
        <v>0</v>
      </c>
      <c r="K214" s="96" t="n">
        <v>0</v>
      </c>
      <c r="L214" s="96" t="n">
        <v>0</v>
      </c>
      <c r="M214" s="96" t="n">
        <v>0</v>
      </c>
      <c r="N214" s="56" t="n">
        <f aca="false">SUM(B214:M214)</f>
        <v>0</v>
      </c>
      <c r="O214" s="148" t="n">
        <f aca="false">SUM(B214:D214)</f>
        <v>0</v>
      </c>
      <c r="P214" s="148" t="n">
        <f aca="false">SUM(E214:G214)</f>
        <v>0</v>
      </c>
      <c r="Q214" s="148" t="n">
        <f aca="false">SUM(H214:J214)</f>
        <v>0</v>
      </c>
      <c r="R214" s="148" t="n">
        <f aca="false">SUM(K214:M214)</f>
        <v>0</v>
      </c>
      <c r="S214" s="148" t="n">
        <f aca="false">SUM(O214:R214)</f>
        <v>0</v>
      </c>
      <c r="T214" s="56" t="n">
        <v>0</v>
      </c>
      <c r="U214" s="56" t="n">
        <v>0</v>
      </c>
      <c r="W214" s="108"/>
      <c r="Y214" s="108"/>
      <c r="AA214" s="108"/>
    </row>
    <row r="215" customFormat="false" ht="12.75" hidden="false" customHeight="false" outlineLevel="0" collapsed="false">
      <c r="A215" s="95" t="s">
        <v>30</v>
      </c>
      <c r="B215" s="96" t="n">
        <v>1</v>
      </c>
      <c r="C215" s="96" t="n">
        <v>0</v>
      </c>
      <c r="D215" s="96" t="n">
        <v>0</v>
      </c>
      <c r="E215" s="96" t="n">
        <v>0</v>
      </c>
      <c r="F215" s="96" t="n">
        <v>0</v>
      </c>
      <c r="G215" s="96" t="n">
        <v>0</v>
      </c>
      <c r="H215" s="96" t="n">
        <v>0</v>
      </c>
      <c r="I215" s="96" t="n">
        <v>0</v>
      </c>
      <c r="J215" s="96" t="n">
        <v>0</v>
      </c>
      <c r="K215" s="96" t="n">
        <v>0</v>
      </c>
      <c r="L215" s="96" t="n">
        <v>0</v>
      </c>
      <c r="M215" s="96" t="n">
        <v>0</v>
      </c>
      <c r="N215" s="56" t="n">
        <f aca="false">SUM(B215:M215)</f>
        <v>1</v>
      </c>
      <c r="O215" s="148" t="n">
        <f aca="false">SUM(B215:D215)</f>
        <v>1</v>
      </c>
      <c r="P215" s="148" t="n">
        <f aca="false">SUM(E215:G215)</f>
        <v>0</v>
      </c>
      <c r="Q215" s="148" t="n">
        <f aca="false">SUM(H215:J215)</f>
        <v>0</v>
      </c>
      <c r="R215" s="148" t="n">
        <f aca="false">SUM(K215:M215)</f>
        <v>0</v>
      </c>
      <c r="S215" s="148" t="n">
        <f aca="false">SUM(O215:R215)</f>
        <v>1</v>
      </c>
      <c r="T215" s="56"/>
      <c r="U215" s="56"/>
      <c r="W215" s="108"/>
      <c r="Y215" s="108"/>
      <c r="AA215" s="108"/>
    </row>
    <row r="216" customFormat="false" ht="12.75" hidden="false" customHeight="false" outlineLevel="0" collapsed="false">
      <c r="A216" s="95" t="s">
        <v>22</v>
      </c>
      <c r="B216" s="99" t="n">
        <v>0</v>
      </c>
      <c r="C216" s="99"/>
      <c r="D216" s="99" t="n">
        <v>0</v>
      </c>
      <c r="E216" s="99" t="n">
        <v>0</v>
      </c>
      <c r="F216" s="99" t="n">
        <v>0</v>
      </c>
      <c r="G216" s="99" t="n">
        <v>5</v>
      </c>
      <c r="H216" s="99" t="n">
        <v>0</v>
      </c>
      <c r="I216" s="99" t="n">
        <v>0</v>
      </c>
      <c r="J216" s="99" t="n">
        <v>0</v>
      </c>
      <c r="K216" s="99" t="n">
        <v>0</v>
      </c>
      <c r="L216" s="99" t="n">
        <v>0</v>
      </c>
      <c r="M216" s="99" t="n">
        <v>0</v>
      </c>
      <c r="N216" s="100" t="n">
        <f aca="false">SUM(B216:M216)</f>
        <v>5</v>
      </c>
      <c r="O216" s="148" t="n">
        <f aca="false">SUM(B216:D216)</f>
        <v>0</v>
      </c>
      <c r="P216" s="148" t="n">
        <f aca="false">SUM(E216:G216)</f>
        <v>5</v>
      </c>
      <c r="Q216" s="148" t="n">
        <f aca="false">SUM(H216:J216)</f>
        <v>0</v>
      </c>
      <c r="R216" s="148" t="n">
        <f aca="false">SUM(K216:M216)</f>
        <v>0</v>
      </c>
      <c r="S216" s="148" t="n">
        <f aca="false">SUM(O216:R216)</f>
        <v>5</v>
      </c>
      <c r="T216" s="100" t="n">
        <v>0</v>
      </c>
      <c r="U216" s="100" t="n">
        <v>0</v>
      </c>
      <c r="X216" s="108"/>
      <c r="Z216" s="108"/>
      <c r="AB216" s="108"/>
    </row>
    <row r="217" customFormat="false" ht="12.75" hidden="false" customHeight="false" outlineLevel="0" collapsed="false">
      <c r="A217" s="92" t="s">
        <v>31</v>
      </c>
      <c r="B217" s="22" t="n">
        <f aca="false">SUM(B212:B216)</f>
        <v>1049</v>
      </c>
      <c r="C217" s="22" t="n">
        <f aca="false">SUM(C212:C216)</f>
        <v>3920</v>
      </c>
      <c r="D217" s="22" t="n">
        <f aca="false">SUM(D212:D216)</f>
        <v>1122.2</v>
      </c>
      <c r="E217" s="22" t="n">
        <f aca="false">SUM(E212:E216)</f>
        <v>1051.6</v>
      </c>
      <c r="F217" s="22" t="n">
        <f aca="false">SUM(F212:F216)</f>
        <v>1041.4</v>
      </c>
      <c r="G217" s="22" t="n">
        <f aca="false">SUM(G212:G216)</f>
        <v>1031.9</v>
      </c>
      <c r="H217" s="22" t="n">
        <f aca="false">SUM(H212:H216)</f>
        <v>1061.3</v>
      </c>
      <c r="I217" s="22" t="n">
        <f aca="false">SUM(I212:I216)</f>
        <v>1106.2</v>
      </c>
      <c r="J217" s="22" t="n">
        <f aca="false">SUM(J212:J216)</f>
        <v>1025.1</v>
      </c>
      <c r="K217" s="22" t="n">
        <f aca="false">SUM(K212:K216)</f>
        <v>1059.32425</v>
      </c>
      <c r="L217" s="22" t="n">
        <f aca="false">SUM(L212:L216)</f>
        <v>1115.1525</v>
      </c>
      <c r="M217" s="22" t="n">
        <f aca="false">SUM(M212:M216)</f>
        <v>1579.7011</v>
      </c>
      <c r="N217" s="117" t="n">
        <f aca="false">SUM(N212:N216)</f>
        <v>16162.87785</v>
      </c>
      <c r="O217" s="157" t="n">
        <f aca="false">SUM(O212:O216)</f>
        <v>6091.2</v>
      </c>
      <c r="P217" s="157" t="n">
        <f aca="false">SUM(P212:P216)</f>
        <v>3124.9</v>
      </c>
      <c r="Q217" s="157" t="n">
        <f aca="false">SUM(Q212:Q216)</f>
        <v>3192.6</v>
      </c>
      <c r="R217" s="157" t="n">
        <f aca="false">SUM(R212:R216)</f>
        <v>3754.17785</v>
      </c>
      <c r="S217" s="157" t="n">
        <f aca="false">SUM(S212:S216)</f>
        <v>16162.87785</v>
      </c>
      <c r="T217" s="117" t="n">
        <f aca="false">SUM(T212:T216)</f>
        <v>12474.38875</v>
      </c>
      <c r="U217" s="117" t="n">
        <f aca="false">SUM(U212:U216)</f>
        <v>12474.38875</v>
      </c>
      <c r="X217" s="108"/>
      <c r="Z217" s="108"/>
      <c r="AB217" s="108"/>
    </row>
    <row r="218" customFormat="false" ht="12.75" hidden="false" customHeight="false" outlineLevel="0" collapsed="false">
      <c r="A218" s="110" t="s">
        <v>32</v>
      </c>
      <c r="B218" s="20" t="n">
        <f aca="false">+B188+B196+B205+B212+B189+B197</f>
        <v>8948</v>
      </c>
      <c r="C218" s="20" t="n">
        <f aca="false">+C188+C196+C205+C212+C189+C197</f>
        <v>13940</v>
      </c>
      <c r="D218" s="20" t="n">
        <f aca="false">+D188+D196+D205+D212+D189+D197</f>
        <v>3508.2</v>
      </c>
      <c r="E218" s="20" t="n">
        <f aca="false">+E188+E196+E205+E212+E189+E197</f>
        <v>8274.6</v>
      </c>
      <c r="F218" s="20" t="n">
        <f aca="false">+F188+F196+F205+F212+F189+F197</f>
        <v>8917</v>
      </c>
      <c r="G218" s="20" t="n">
        <f aca="false">+G188+G196+G205+G212+G189+G197</f>
        <v>8393.2</v>
      </c>
      <c r="H218" s="20" t="n">
        <f aca="false">+H188+H196+H205+H212+H189+H197</f>
        <v>8902.2</v>
      </c>
      <c r="I218" s="20" t="n">
        <f aca="false">+I188+I196+I205+I212+I189+I197</f>
        <v>8962.3</v>
      </c>
      <c r="J218" s="20" t="n">
        <f aca="false">+J188+J196+J205+J212+J189+J197</f>
        <v>8642</v>
      </c>
      <c r="K218" s="20" t="n">
        <f aca="false">+K188+K196+K205+K212+K189+K197</f>
        <v>8903.3299024</v>
      </c>
      <c r="L218" s="20" t="n">
        <f aca="false">+L188+L196+L205+L212+L189+L197</f>
        <v>7735.71084</v>
      </c>
      <c r="M218" s="20" t="n">
        <f aca="false">+M188+M196+M205+M212+M189+M197</f>
        <v>8423.8805172</v>
      </c>
      <c r="N218" s="117" t="n">
        <f aca="false">SUM(B218:M218)</f>
        <v>103550.4212596</v>
      </c>
      <c r="O218" s="148" t="n">
        <f aca="false">SUM(B218:D218)</f>
        <v>26396.2</v>
      </c>
      <c r="P218" s="158" t="n">
        <f aca="false">SUM(E218:G218)</f>
        <v>25584.8</v>
      </c>
      <c r="Q218" s="148" t="n">
        <f aca="false">SUM(H218:J218)</f>
        <v>26506.5</v>
      </c>
      <c r="R218" s="148" t="n">
        <f aca="false">SUM(K218:M218)</f>
        <v>25062.9212596</v>
      </c>
      <c r="S218" s="148" t="n">
        <f aca="false">SUM(O218:R218)</f>
        <v>103550.4212596</v>
      </c>
      <c r="T218" s="117" t="n">
        <f aca="false">T212+T205+T196+T188</f>
        <v>133013.8613412</v>
      </c>
      <c r="U218" s="117" t="n">
        <f aca="false">U212+U205+U196+U188</f>
        <v>256138.4783412</v>
      </c>
      <c r="W218" s="109"/>
      <c r="X218" s="109"/>
      <c r="Y218" s="109"/>
      <c r="Z218" s="109"/>
      <c r="AA218" s="109"/>
      <c r="AB218" s="109"/>
    </row>
    <row r="219" customFormat="false" ht="12.75" hidden="false" customHeight="false" outlineLevel="0" collapsed="false">
      <c r="A219" s="110" t="s">
        <v>33</v>
      </c>
      <c r="B219" s="159" t="n">
        <f aca="false">B190+B192+B198+B199+B201+B206+B208+B213+B214+B215+B216+B191++B200</f>
        <v>898</v>
      </c>
      <c r="C219" s="159" t="n">
        <f aca="false">C190+C191+C192+C198+C199+C200+C201+C206+C207+C208+C213+C214+C215+C216</f>
        <v>792</v>
      </c>
      <c r="D219" s="159" t="n">
        <f aca="false">+D193+D202+D209+D217-D218</f>
        <v>875</v>
      </c>
      <c r="E219" s="159" t="n">
        <f aca="false">+E193+E202+E209+E217-E218</f>
        <v>2132.5</v>
      </c>
      <c r="F219" s="159" t="n">
        <f aca="false">+F193+F202+F209+F217-F218</f>
        <v>3055</v>
      </c>
      <c r="G219" s="159" t="n">
        <f aca="false">+G193+G202+G209+G217-G218</f>
        <v>1667.7</v>
      </c>
      <c r="H219" s="159" t="n">
        <f aca="false">+H193+H202+H209+H217-H218</f>
        <v>1133.7</v>
      </c>
      <c r="I219" s="159" t="n">
        <f aca="false">+I193+I202+I209+I217-I218</f>
        <v>1344.91</v>
      </c>
      <c r="J219" s="159" t="n">
        <f aca="false">+J193+J202+J209+J217-J218</f>
        <v>855.6</v>
      </c>
      <c r="K219" s="159" t="n">
        <f aca="false">+K193+K202+K209+K217-K218</f>
        <v>807.766057999997</v>
      </c>
      <c r="L219" s="159" t="n">
        <f aca="false">+L193+L202+L209+L217-L218</f>
        <v>777.844804</v>
      </c>
      <c r="M219" s="159" t="n">
        <f aca="false">+M193+M202+M209+M217-M218</f>
        <v>783.8651599</v>
      </c>
      <c r="N219" s="117" t="n">
        <f aca="false">SUM(B219:M219)</f>
        <v>15123.8860219</v>
      </c>
      <c r="O219" s="148" t="n">
        <f aca="false">SUM(B219:D219)</f>
        <v>2565</v>
      </c>
      <c r="P219" s="158" t="n">
        <f aca="false">SUM(E219:G219)</f>
        <v>6855.2</v>
      </c>
      <c r="Q219" s="148" t="n">
        <f aca="false">SUM(H219:J219)</f>
        <v>3334.21</v>
      </c>
      <c r="R219" s="148" t="n">
        <f aca="false">SUM(K219:M219)</f>
        <v>2369.4760219</v>
      </c>
      <c r="S219" s="148" t="n">
        <f aca="false">SUM(O219:R219)</f>
        <v>15123.8860219</v>
      </c>
      <c r="T219" s="117" t="n">
        <f aca="false">T216+T215+T214+T213+T208+T207+T206+T201+T199+T198+T192+T191+T190</f>
        <v>10053.2708592</v>
      </c>
      <c r="U219" s="117" t="n">
        <f aca="false">U216+U215+U214+U213+U208+U207+U206+U201+U199+U198+U192+U191+U190</f>
        <v>12782.1538592</v>
      </c>
      <c r="W219" s="160"/>
      <c r="X219" s="160"/>
      <c r="Y219" s="160"/>
      <c r="Z219" s="160"/>
      <c r="AA219" s="160"/>
      <c r="AB219" s="160"/>
    </row>
    <row r="220" customFormat="false" ht="12.75" hidden="false" customHeight="false" outlineLevel="0" collapsed="false">
      <c r="A220" s="110" t="s">
        <v>34</v>
      </c>
      <c r="B220" s="159" t="n">
        <f aca="false">SUM(B218:B219)</f>
        <v>9846</v>
      </c>
      <c r="C220" s="159" t="n">
        <f aca="false">SUM(C218:C219)</f>
        <v>14732</v>
      </c>
      <c r="D220" s="159" t="n">
        <f aca="false">SUM(D218:D219)</f>
        <v>4383.2</v>
      </c>
      <c r="E220" s="159" t="n">
        <f aca="false">SUM(E218:E219)</f>
        <v>10407.1</v>
      </c>
      <c r="F220" s="159" t="n">
        <f aca="false">SUM(F218:F219)</f>
        <v>11972</v>
      </c>
      <c r="G220" s="159" t="n">
        <f aca="false">SUM(G218:G219)</f>
        <v>10060.9</v>
      </c>
      <c r="H220" s="159" t="n">
        <f aca="false">SUM(H218:H219)</f>
        <v>10035.9</v>
      </c>
      <c r="I220" s="159" t="n">
        <f aca="false">SUM(I218:I219)</f>
        <v>10307.21</v>
      </c>
      <c r="J220" s="159" t="n">
        <f aca="false">SUM(J218:J219)</f>
        <v>9497.6</v>
      </c>
      <c r="K220" s="159" t="n">
        <f aca="false">SUM(K218:K219)</f>
        <v>9711.0959604</v>
      </c>
      <c r="L220" s="159" t="n">
        <f aca="false">SUM(L218:L219)</f>
        <v>8513.555644</v>
      </c>
      <c r="M220" s="159" t="n">
        <f aca="false">SUM(M218:M219)</f>
        <v>9207.7456771</v>
      </c>
      <c r="N220" s="117" t="n">
        <f aca="false">SUM(N218:N219)</f>
        <v>118674.3072815</v>
      </c>
      <c r="O220" s="117" t="n">
        <f aca="false">SUM(O218:O219)</f>
        <v>28961.2</v>
      </c>
      <c r="P220" s="117" t="n">
        <f aca="false">SUM(P218:P219)</f>
        <v>32440</v>
      </c>
      <c r="Q220" s="148" t="n">
        <f aca="false">SUM(H220:J220)</f>
        <v>29840.71</v>
      </c>
      <c r="R220" s="148" t="n">
        <f aca="false">SUM(K220:M220)</f>
        <v>27432.3972815</v>
      </c>
      <c r="S220" s="148" t="n">
        <f aca="false">SUM(O220:R220)</f>
        <v>118674.3072815</v>
      </c>
      <c r="T220" s="117" t="n">
        <f aca="false">SUM(T218:T219)</f>
        <v>143067.1322004</v>
      </c>
      <c r="U220" s="117" t="n">
        <f aca="false">SUM(U218:U219)</f>
        <v>268920.6322004</v>
      </c>
    </row>
    <row r="221" customFormat="false" ht="12.75" hidden="false" customHeight="false" outlineLevel="0" collapsed="false">
      <c r="A221" s="113"/>
      <c r="B221" s="161" t="n">
        <f aca="false">B219/(B41/31)/1000</f>
        <v>0.0251104071353317</v>
      </c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3"/>
      <c r="O221" s="163"/>
      <c r="P221" s="164"/>
      <c r="Q221" s="164"/>
      <c r="R221" s="164"/>
      <c r="S221" s="164"/>
      <c r="T221" s="163"/>
      <c r="U221" s="163"/>
    </row>
    <row r="222" customFormat="false" ht="15.75" hidden="false" customHeight="false" outlineLevel="0" collapsed="false">
      <c r="A222" s="91" t="s">
        <v>35</v>
      </c>
      <c r="B222" s="165" t="n">
        <f aca="false">B220/B42*31/1000</f>
        <v>0.275816512700305</v>
      </c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2"/>
      <c r="O222" s="162"/>
      <c r="P222" s="164"/>
      <c r="Q222" s="164"/>
      <c r="R222" s="164"/>
      <c r="S222" s="164"/>
      <c r="T222" s="162"/>
      <c r="U222" s="162"/>
    </row>
    <row r="223" customFormat="false" ht="12.75" hidden="false" customHeight="false" outlineLevel="0" collapsed="false">
      <c r="A223" s="92" t="s">
        <v>36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56"/>
      <c r="O223" s="56"/>
      <c r="P223" s="93"/>
      <c r="Q223" s="93"/>
      <c r="R223" s="93"/>
      <c r="S223" s="93"/>
      <c r="T223" s="56"/>
      <c r="U223" s="56"/>
    </row>
    <row r="224" customFormat="false" ht="12.75" hidden="false" customHeight="false" outlineLevel="0" collapsed="false">
      <c r="A224" s="95" t="s">
        <v>14</v>
      </c>
      <c r="B224" s="96" t="n">
        <v>20</v>
      </c>
      <c r="C224" s="96" t="n">
        <v>17</v>
      </c>
      <c r="D224" s="96" t="n">
        <v>16.8</v>
      </c>
      <c r="E224" s="96" t="n">
        <f aca="false">18.7+36</f>
        <v>54.7</v>
      </c>
      <c r="F224" s="96" t="n">
        <v>24.6</v>
      </c>
      <c r="G224" s="96" t="n">
        <v>43.4</v>
      </c>
      <c r="H224" s="96" t="n">
        <v>40</v>
      </c>
      <c r="I224" s="96" t="n">
        <f aca="false">27-1</f>
        <v>26</v>
      </c>
      <c r="J224" s="96" t="n">
        <v>18</v>
      </c>
      <c r="K224" s="96" t="n">
        <v>0</v>
      </c>
      <c r="L224" s="96" t="n">
        <v>0</v>
      </c>
      <c r="M224" s="96" t="n">
        <v>0</v>
      </c>
      <c r="N224" s="56" t="n">
        <f aca="false">SUM(B224:M224)</f>
        <v>260.5</v>
      </c>
      <c r="O224" s="148" t="n">
        <f aca="false">SUM(B224:D224)</f>
        <v>53.8</v>
      </c>
      <c r="P224" s="148" t="n">
        <f aca="false">SUM(E224:G224)</f>
        <v>122.7</v>
      </c>
      <c r="Q224" s="148" t="n">
        <f aca="false">SUM(H224:J224)</f>
        <v>84</v>
      </c>
      <c r="R224" s="148" t="n">
        <f aca="false">SUM(K224:M224)</f>
        <v>0</v>
      </c>
      <c r="S224" s="148" t="n">
        <f aca="false">SUM(O224:R224)</f>
        <v>260.5</v>
      </c>
      <c r="T224" s="56" t="n">
        <v>0</v>
      </c>
      <c r="U224" s="56" t="n">
        <v>0</v>
      </c>
    </row>
    <row r="225" customFormat="false" ht="12.75" hidden="false" customHeight="false" outlineLevel="0" collapsed="false">
      <c r="A225" s="95" t="s">
        <v>18</v>
      </c>
      <c r="B225" s="96" t="n">
        <v>2</v>
      </c>
      <c r="C225" s="96" t="n">
        <v>3</v>
      </c>
      <c r="D225" s="96" t="n">
        <v>3.2</v>
      </c>
      <c r="E225" s="96" t="n">
        <v>5.1</v>
      </c>
      <c r="F225" s="96" t="n">
        <v>0</v>
      </c>
      <c r="G225" s="96" t="n">
        <v>6.4</v>
      </c>
      <c r="H225" s="96" t="n">
        <v>0</v>
      </c>
      <c r="I225" s="96" t="n">
        <v>0</v>
      </c>
      <c r="J225" s="96" t="n">
        <v>0</v>
      </c>
      <c r="K225" s="96" t="n">
        <v>0</v>
      </c>
      <c r="L225" s="96" t="n">
        <v>0</v>
      </c>
      <c r="M225" s="96" t="n">
        <v>0</v>
      </c>
      <c r="N225" s="56" t="n">
        <f aca="false">SUM(B225:M225)</f>
        <v>19.7</v>
      </c>
      <c r="O225" s="148" t="n">
        <f aca="false">SUM(B225:D225)</f>
        <v>8.2</v>
      </c>
      <c r="P225" s="148" t="n">
        <f aca="false">SUM(E225:G225)</f>
        <v>11.5</v>
      </c>
      <c r="Q225" s="148" t="n">
        <f aca="false">SUM(H225:J225)</f>
        <v>0</v>
      </c>
      <c r="R225" s="148" t="n">
        <f aca="false">SUM(K225:M225)</f>
        <v>0</v>
      </c>
      <c r="S225" s="148" t="n">
        <f aca="false">SUM(O225:R225)</f>
        <v>19.7</v>
      </c>
      <c r="T225" s="56" t="n">
        <v>0</v>
      </c>
      <c r="U225" s="56" t="n">
        <v>0</v>
      </c>
      <c r="W225" s="108"/>
      <c r="Y225" s="108"/>
      <c r="AA225" s="108"/>
    </row>
    <row r="226" customFormat="false" ht="12.75" hidden="false" customHeight="false" outlineLevel="0" collapsed="false">
      <c r="A226" s="95" t="s">
        <v>20</v>
      </c>
      <c r="B226" s="96" t="n">
        <v>0</v>
      </c>
      <c r="C226" s="96" t="n">
        <v>0</v>
      </c>
      <c r="D226" s="96" t="n">
        <v>0</v>
      </c>
      <c r="E226" s="96" t="n">
        <v>0</v>
      </c>
      <c r="F226" s="96" t="n">
        <v>7.9</v>
      </c>
      <c r="G226" s="96" t="n">
        <v>0</v>
      </c>
      <c r="H226" s="96" t="n">
        <v>0</v>
      </c>
      <c r="I226" s="96" t="n">
        <v>0</v>
      </c>
      <c r="J226" s="96" t="n">
        <v>0</v>
      </c>
      <c r="K226" s="96" t="n">
        <v>0</v>
      </c>
      <c r="L226" s="96" t="n">
        <v>0</v>
      </c>
      <c r="M226" s="96" t="n">
        <v>0</v>
      </c>
      <c r="N226" s="56" t="n">
        <f aca="false">SUM(B226:M226)</f>
        <v>7.9</v>
      </c>
      <c r="O226" s="148" t="n">
        <f aca="false">SUM(B226:D226)</f>
        <v>0</v>
      </c>
      <c r="P226" s="148" t="n">
        <f aca="false">SUM(E226:G226)</f>
        <v>7.9</v>
      </c>
      <c r="Q226" s="148" t="n">
        <f aca="false">SUM(H226:J226)</f>
        <v>0</v>
      </c>
      <c r="R226" s="148" t="n">
        <f aca="false">SUM(K226:M226)</f>
        <v>0</v>
      </c>
      <c r="S226" s="148" t="n">
        <f aca="false">SUM(O226:R226)</f>
        <v>7.9</v>
      </c>
      <c r="T226" s="56" t="n">
        <v>0</v>
      </c>
      <c r="U226" s="56" t="n">
        <v>0</v>
      </c>
      <c r="W226" s="108"/>
      <c r="Y226" s="108"/>
      <c r="AA226" s="108"/>
    </row>
    <row r="227" customFormat="false" ht="12.75" hidden="false" customHeight="false" outlineLevel="0" collapsed="false">
      <c r="A227" s="95" t="s">
        <v>22</v>
      </c>
      <c r="B227" s="99" t="n">
        <v>0</v>
      </c>
      <c r="C227" s="99" t="n">
        <v>0</v>
      </c>
      <c r="D227" s="99" t="n">
        <v>41.6</v>
      </c>
      <c r="E227" s="99" t="n">
        <f aca="false">7.1+0.2</f>
        <v>7.3</v>
      </c>
      <c r="F227" s="99" t="n">
        <v>2.3</v>
      </c>
      <c r="G227" s="99" t="n">
        <v>17.5</v>
      </c>
      <c r="H227" s="99" t="n">
        <v>5</v>
      </c>
      <c r="I227" s="99" t="n">
        <v>0</v>
      </c>
      <c r="J227" s="99" t="n">
        <v>0</v>
      </c>
      <c r="K227" s="99" t="n">
        <v>0</v>
      </c>
      <c r="L227" s="99" t="n">
        <v>0</v>
      </c>
      <c r="M227" s="99" t="n">
        <v>0</v>
      </c>
      <c r="N227" s="100" t="n">
        <f aca="false">SUM(B227:M227)</f>
        <v>73.7</v>
      </c>
      <c r="O227" s="148" t="n">
        <f aca="false">SUM(B227:D227)</f>
        <v>41.6</v>
      </c>
      <c r="P227" s="148" t="n">
        <f aca="false">SUM(E227:G227)</f>
        <v>27.1</v>
      </c>
      <c r="Q227" s="148" t="n">
        <f aca="false">SUM(H227:J227)</f>
        <v>5</v>
      </c>
      <c r="R227" s="148" t="n">
        <f aca="false">SUM(K227:M227)</f>
        <v>0</v>
      </c>
      <c r="S227" s="148" t="n">
        <f aca="false">SUM(O227:R227)</f>
        <v>73.7</v>
      </c>
      <c r="T227" s="100" t="n">
        <v>0</v>
      </c>
      <c r="U227" s="100" t="n">
        <v>0</v>
      </c>
      <c r="X227" s="145"/>
      <c r="Z227" s="145"/>
      <c r="AB227" s="145"/>
    </row>
    <row r="228" customFormat="false" ht="12.75" hidden="false" customHeight="false" outlineLevel="0" collapsed="false">
      <c r="A228" s="92" t="s">
        <v>37</v>
      </c>
      <c r="B228" s="20" t="n">
        <f aca="false">SUM(B224:B227)</f>
        <v>22</v>
      </c>
      <c r="C228" s="20" t="n">
        <f aca="false">SUM(C224:C227)</f>
        <v>20</v>
      </c>
      <c r="D228" s="20" t="n">
        <f aca="false">SUM(D224:D227)</f>
        <v>61.6</v>
      </c>
      <c r="E228" s="20" t="n">
        <f aca="false">SUM(E224:E227)</f>
        <v>67.1</v>
      </c>
      <c r="F228" s="20" t="n">
        <f aca="false">SUM(F224:F227)</f>
        <v>34.8</v>
      </c>
      <c r="G228" s="20" t="n">
        <f aca="false">SUM(G224:G227)</f>
        <v>67.3</v>
      </c>
      <c r="H228" s="20" t="n">
        <f aca="false">SUM(H224:H227)</f>
        <v>45</v>
      </c>
      <c r="I228" s="20" t="n">
        <f aca="false">SUM(I224:I227)</f>
        <v>26</v>
      </c>
      <c r="J228" s="20" t="n">
        <f aca="false">SUM(J224:J227)</f>
        <v>18</v>
      </c>
      <c r="K228" s="20" t="n">
        <f aca="false">SUM(K224:K227)</f>
        <v>0</v>
      </c>
      <c r="L228" s="20" t="n">
        <f aca="false">SUM(L224:L227)</f>
        <v>0</v>
      </c>
      <c r="M228" s="20" t="n">
        <f aca="false">SUM(M224:M227)</f>
        <v>0</v>
      </c>
      <c r="N228" s="20" t="n">
        <f aca="false">SUM(N224:N227)</f>
        <v>361.8</v>
      </c>
      <c r="O228" s="20" t="n">
        <f aca="false">SUM(O224:O227)</f>
        <v>103.6</v>
      </c>
      <c r="P228" s="20" t="n">
        <f aca="false">SUM(P224:P227)</f>
        <v>169.2</v>
      </c>
      <c r="Q228" s="20" t="n">
        <f aca="false">SUM(Q224:Q227)</f>
        <v>89</v>
      </c>
      <c r="R228" s="20" t="n">
        <f aca="false">SUM(R224:R227)</f>
        <v>0</v>
      </c>
      <c r="S228" s="20" t="n">
        <f aca="false">SUM(S224:S227)</f>
        <v>361.8</v>
      </c>
      <c r="T228" s="20" t="n">
        <f aca="false">SUM(T224:T227)</f>
        <v>0</v>
      </c>
      <c r="U228" s="20" t="n">
        <f aca="false">SUM(U224:U227)</f>
        <v>0</v>
      </c>
      <c r="W228" s="152"/>
      <c r="X228" s="153"/>
      <c r="Y228" s="152"/>
      <c r="Z228" s="153"/>
      <c r="AA228" s="152"/>
      <c r="AB228" s="153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  <c r="BI228" s="152"/>
      <c r="BJ228" s="152"/>
      <c r="BK228" s="152"/>
      <c r="BL228" s="152"/>
      <c r="BM228" s="152"/>
      <c r="BN228" s="152"/>
      <c r="BO228" s="152"/>
      <c r="BP228" s="152"/>
      <c r="BQ228" s="152"/>
      <c r="BR228" s="152"/>
      <c r="BS228" s="152"/>
      <c r="BT228" s="152"/>
      <c r="BU228" s="152"/>
      <c r="BV228" s="152"/>
      <c r="BW228" s="152"/>
      <c r="BX228" s="152"/>
      <c r="BY228" s="152"/>
      <c r="BZ228" s="152"/>
      <c r="CA228" s="152"/>
      <c r="CB228" s="152"/>
      <c r="CC228" s="152"/>
      <c r="CD228" s="152"/>
      <c r="CE228" s="152"/>
      <c r="CF228" s="152"/>
      <c r="CG228" s="152"/>
      <c r="CH228" s="152"/>
      <c r="CI228" s="152"/>
      <c r="CJ228" s="152"/>
      <c r="CK228" s="152"/>
      <c r="CL228" s="152"/>
      <c r="CM228" s="152"/>
      <c r="CN228" s="152"/>
      <c r="CO228" s="152"/>
      <c r="CP228" s="152"/>
      <c r="CQ228" s="152"/>
      <c r="CR228" s="152"/>
      <c r="CS228" s="152"/>
      <c r="CT228" s="152"/>
      <c r="CU228" s="152"/>
      <c r="CV228" s="152"/>
      <c r="CW228" s="152"/>
      <c r="CX228" s="152"/>
      <c r="CY228" s="152"/>
      <c r="CZ228" s="152"/>
      <c r="DA228" s="152"/>
      <c r="DB228" s="152"/>
      <c r="DC228" s="152"/>
      <c r="DD228" s="152"/>
      <c r="DE228" s="152"/>
      <c r="DF228" s="152"/>
      <c r="DG228" s="152"/>
      <c r="DH228" s="152"/>
      <c r="DI228" s="152"/>
      <c r="DJ228" s="152"/>
      <c r="DK228" s="152"/>
      <c r="DL228" s="152"/>
      <c r="DM228" s="152"/>
      <c r="DN228" s="152"/>
      <c r="DO228" s="152"/>
      <c r="DP228" s="152"/>
      <c r="DQ228" s="152"/>
      <c r="DR228" s="152"/>
      <c r="DS228" s="152"/>
      <c r="DT228" s="152"/>
      <c r="DU228" s="152"/>
      <c r="DV228" s="152"/>
      <c r="DW228" s="152"/>
      <c r="DX228" s="152"/>
      <c r="DY228" s="152"/>
      <c r="DZ228" s="152"/>
      <c r="EA228" s="152"/>
      <c r="EB228" s="152"/>
      <c r="EC228" s="152"/>
      <c r="ED228" s="152"/>
      <c r="EE228" s="152"/>
      <c r="EF228" s="152"/>
      <c r="EG228" s="152"/>
      <c r="EH228" s="152"/>
      <c r="EI228" s="152"/>
      <c r="EJ228" s="152"/>
      <c r="EK228" s="152"/>
      <c r="EL228" s="152"/>
      <c r="EM228" s="152"/>
      <c r="EN228" s="152"/>
      <c r="EO228" s="152"/>
      <c r="EP228" s="152"/>
      <c r="EQ228" s="152"/>
      <c r="ER228" s="152"/>
      <c r="ES228" s="152"/>
      <c r="ET228" s="152"/>
      <c r="EU228" s="152"/>
      <c r="EV228" s="152"/>
      <c r="EW228" s="152"/>
      <c r="EX228" s="152"/>
      <c r="EY228" s="152"/>
      <c r="EZ228" s="152"/>
      <c r="FA228" s="152"/>
      <c r="FB228" s="152"/>
      <c r="FC228" s="152"/>
      <c r="FD228" s="152"/>
      <c r="FE228" s="152"/>
      <c r="FF228" s="152"/>
      <c r="FG228" s="152"/>
      <c r="FH228" s="152"/>
      <c r="FI228" s="152"/>
      <c r="FJ228" s="152"/>
      <c r="FK228" s="152"/>
      <c r="FL228" s="152"/>
      <c r="FM228" s="152"/>
      <c r="FN228" s="152"/>
      <c r="FO228" s="152"/>
      <c r="FP228" s="152"/>
      <c r="FQ228" s="152"/>
      <c r="FR228" s="152"/>
      <c r="FS228" s="152"/>
      <c r="FT228" s="152"/>
      <c r="FU228" s="152"/>
      <c r="FV228" s="152"/>
      <c r="FW228" s="152"/>
      <c r="FX228" s="152"/>
      <c r="FY228" s="152"/>
      <c r="FZ228" s="152"/>
      <c r="GA228" s="152"/>
      <c r="GB228" s="152"/>
      <c r="GC228" s="152"/>
      <c r="GD228" s="152"/>
      <c r="GE228" s="152"/>
      <c r="GF228" s="152"/>
      <c r="GG228" s="152"/>
      <c r="GH228" s="152"/>
      <c r="GI228" s="152"/>
      <c r="GJ228" s="152"/>
      <c r="GK228" s="152"/>
      <c r="GL228" s="152"/>
      <c r="GM228" s="152"/>
      <c r="GN228" s="152"/>
      <c r="GO228" s="152"/>
      <c r="GP228" s="152"/>
      <c r="GQ228" s="152"/>
      <c r="GR228" s="152"/>
      <c r="GS228" s="152"/>
      <c r="GT228" s="152"/>
      <c r="GU228" s="152"/>
      <c r="GV228" s="152"/>
      <c r="GW228" s="152"/>
      <c r="GX228" s="152"/>
      <c r="GY228" s="152"/>
      <c r="GZ228" s="152"/>
      <c r="HA228" s="152"/>
      <c r="HB228" s="152"/>
      <c r="HC228" s="152"/>
      <c r="HD228" s="152"/>
      <c r="HE228" s="152"/>
      <c r="HF228" s="152"/>
      <c r="HG228" s="152"/>
      <c r="HH228" s="152"/>
      <c r="HI228" s="152"/>
      <c r="HJ228" s="152"/>
      <c r="HK228" s="152"/>
      <c r="HL228" s="152"/>
      <c r="HM228" s="152"/>
      <c r="HN228" s="152"/>
      <c r="HO228" s="152"/>
      <c r="HP228" s="152"/>
      <c r="HQ228" s="152"/>
      <c r="HR228" s="152"/>
      <c r="HS228" s="152"/>
      <c r="HT228" s="152"/>
      <c r="HU228" s="152"/>
      <c r="HV228" s="152"/>
      <c r="HW228" s="152"/>
      <c r="HX228" s="152"/>
      <c r="HY228" s="152"/>
      <c r="HZ228" s="152"/>
      <c r="IA228" s="152"/>
      <c r="IB228" s="152"/>
      <c r="IC228" s="152"/>
      <c r="ID228" s="152"/>
      <c r="IE228" s="152"/>
      <c r="IF228" s="152"/>
      <c r="IG228" s="152"/>
      <c r="IH228" s="152"/>
      <c r="II228" s="152"/>
      <c r="IJ228" s="152"/>
      <c r="IK228" s="152"/>
      <c r="IL228" s="152"/>
      <c r="IM228" s="152"/>
      <c r="IN228" s="152"/>
      <c r="IO228" s="152"/>
      <c r="IP228" s="152"/>
      <c r="IQ228" s="152"/>
      <c r="IR228" s="152"/>
      <c r="IS228" s="152"/>
      <c r="IT228" s="152"/>
      <c r="IU228" s="152"/>
      <c r="IV228" s="152"/>
      <c r="IW228" s="152"/>
    </row>
    <row r="229" customFormat="false" ht="12.75" hidden="false" customHeight="false" outlineLevel="0" collapsed="false">
      <c r="A229" s="95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2"/>
      <c r="O229" s="162"/>
      <c r="P229" s="164"/>
      <c r="Q229" s="164"/>
      <c r="R229" s="164"/>
      <c r="S229" s="164"/>
      <c r="T229" s="162"/>
      <c r="U229" s="162"/>
    </row>
    <row r="230" customFormat="false" ht="12.75" hidden="false" customHeight="false" outlineLevel="0" collapsed="false">
      <c r="A230" s="92" t="s">
        <v>38</v>
      </c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56"/>
      <c r="O230" s="56"/>
      <c r="P230" s="93"/>
      <c r="Q230" s="93"/>
      <c r="R230" s="93"/>
      <c r="S230" s="93"/>
      <c r="T230" s="56"/>
      <c r="U230" s="56"/>
    </row>
    <row r="231" customFormat="false" ht="12.75" hidden="false" customHeight="false" outlineLevel="0" collapsed="false">
      <c r="A231" s="95" t="s">
        <v>14</v>
      </c>
      <c r="B231" s="96" t="n">
        <v>509</v>
      </c>
      <c r="C231" s="96" t="n">
        <v>472</v>
      </c>
      <c r="D231" s="96" t="n">
        <v>1031.5</v>
      </c>
      <c r="E231" s="96" t="n">
        <v>480.2</v>
      </c>
      <c r="F231" s="96" t="n">
        <v>578.4</v>
      </c>
      <c r="G231" s="96" t="n">
        <v>810.9</v>
      </c>
      <c r="H231" s="96" t="n">
        <v>719</v>
      </c>
      <c r="I231" s="96" t="n">
        <v>517.2</v>
      </c>
      <c r="J231" s="96" t="n">
        <v>453.1</v>
      </c>
      <c r="K231" s="96" t="n">
        <f aca="false">Detail!W519/1000</f>
        <v>394.532133</v>
      </c>
      <c r="L231" s="96" t="n">
        <f aca="false">Detail!X519/1000</f>
        <v>703.43808</v>
      </c>
      <c r="M231" s="96" t="n">
        <f aca="false">Detail!Y519/1000</f>
        <v>830.2562290434</v>
      </c>
      <c r="N231" s="56" t="n">
        <f aca="false">SUM(B231:M231)</f>
        <v>7499.5264420434</v>
      </c>
      <c r="O231" s="148" t="n">
        <f aca="false">SUM(B231:D231)</f>
        <v>2012.5</v>
      </c>
      <c r="P231" s="148" t="n">
        <f aca="false">SUM(E231:G231)</f>
        <v>1869.5</v>
      </c>
      <c r="Q231" s="148" t="n">
        <f aca="false">SUM(H231:J231)</f>
        <v>1689.3</v>
      </c>
      <c r="R231" s="148" t="n">
        <f aca="false">SUM(K231:M231)</f>
        <v>1928.2264420434</v>
      </c>
      <c r="S231" s="148" t="n">
        <f aca="false">SUM(O231:R231)</f>
        <v>7499.5264420434</v>
      </c>
      <c r="T231" s="56" t="n">
        <f aca="false">4262.6436639623-63</f>
        <v>4199.6436639623</v>
      </c>
      <c r="U231" s="56" t="n">
        <f aca="false">4262.6436639623+337</f>
        <v>4599.6436639623</v>
      </c>
    </row>
    <row r="232" customFormat="false" ht="12.75" hidden="false" customHeight="false" outlineLevel="0" collapsed="false">
      <c r="A232" s="95" t="s">
        <v>18</v>
      </c>
      <c r="B232" s="96" t="n">
        <v>52</v>
      </c>
      <c r="C232" s="96" t="n">
        <v>55</v>
      </c>
      <c r="D232" s="96" t="n">
        <v>72.5</v>
      </c>
      <c r="E232" s="96" t="n">
        <v>85.4</v>
      </c>
      <c r="F232" s="96" t="n">
        <v>95.6</v>
      </c>
      <c r="G232" s="96" t="n">
        <v>89.2</v>
      </c>
      <c r="H232" s="96" t="n">
        <v>100</v>
      </c>
      <c r="I232" s="96" t="n">
        <v>105</v>
      </c>
      <c r="J232" s="96" t="n">
        <v>82.3</v>
      </c>
      <c r="K232" s="96" t="n">
        <f aca="false">Detail!W544/1000</f>
        <v>77.117367</v>
      </c>
      <c r="L232" s="96" t="n">
        <f aca="false">Detail!X544/1000</f>
        <v>82.99692</v>
      </c>
      <c r="M232" s="96" t="n">
        <f aca="false">Detail!Y544/1000</f>
        <v>93.6048409566</v>
      </c>
      <c r="N232" s="56" t="n">
        <f aca="false">SUM(B232:M232)</f>
        <v>990.7191279566</v>
      </c>
      <c r="O232" s="148" t="n">
        <f aca="false">SUM(B232:D232)</f>
        <v>179.5</v>
      </c>
      <c r="P232" s="148" t="n">
        <f aca="false">SUM(E232:G232)</f>
        <v>270.2</v>
      </c>
      <c r="Q232" s="148" t="n">
        <f aca="false">SUM(H232:J232)</f>
        <v>287.3</v>
      </c>
      <c r="R232" s="148" t="n">
        <f aca="false">SUM(K232:M232)</f>
        <v>253.7191279566</v>
      </c>
      <c r="S232" s="148" t="n">
        <f aca="false">SUM(O232:R232)</f>
        <v>990.7191279566</v>
      </c>
      <c r="T232" s="56" t="n">
        <v>921.2316160377</v>
      </c>
      <c r="U232" s="56" t="n">
        <v>921.2316160377</v>
      </c>
      <c r="W232" s="108"/>
      <c r="Y232" s="108"/>
      <c r="AA232" s="108"/>
    </row>
    <row r="233" customFormat="false" ht="12.75" hidden="false" customHeight="false" outlineLevel="0" collapsed="false">
      <c r="A233" s="95" t="s">
        <v>20</v>
      </c>
      <c r="B233" s="96" t="n">
        <v>0</v>
      </c>
      <c r="C233" s="96" t="n">
        <v>0</v>
      </c>
      <c r="D233" s="96" t="n">
        <v>0</v>
      </c>
      <c r="E233" s="96" t="n">
        <v>0</v>
      </c>
      <c r="F233" s="96" t="n">
        <v>0</v>
      </c>
      <c r="G233" s="96" t="n">
        <v>0</v>
      </c>
      <c r="H233" s="96" t="n">
        <v>0</v>
      </c>
      <c r="I233" s="96" t="n">
        <v>0</v>
      </c>
      <c r="J233" s="96" t="n">
        <v>0</v>
      </c>
      <c r="K233" s="96" t="n">
        <v>0</v>
      </c>
      <c r="L233" s="96" t="n">
        <v>0</v>
      </c>
      <c r="M233" s="96" t="n">
        <v>0</v>
      </c>
      <c r="N233" s="56" t="n">
        <f aca="false">SUM(B233:M233)</f>
        <v>0</v>
      </c>
      <c r="O233" s="148" t="n">
        <f aca="false">SUM(B233:D233)</f>
        <v>0</v>
      </c>
      <c r="P233" s="148" t="n">
        <f aca="false">SUM(E233:G233)</f>
        <v>0</v>
      </c>
      <c r="Q233" s="148" t="n">
        <f aca="false">SUM(H233:J233)</f>
        <v>0</v>
      </c>
      <c r="R233" s="148" t="n">
        <f aca="false">SUM(K233:M233)</f>
        <v>0</v>
      </c>
      <c r="S233" s="148" t="n">
        <f aca="false">SUM(O233:R233)</f>
        <v>0</v>
      </c>
      <c r="T233" s="56" t="n">
        <v>0</v>
      </c>
      <c r="U233" s="56" t="n">
        <v>0</v>
      </c>
      <c r="W233" s="108"/>
      <c r="Y233" s="108"/>
      <c r="AA233" s="108"/>
    </row>
    <row r="234" customFormat="false" ht="12.75" hidden="false" customHeight="false" outlineLevel="0" collapsed="false">
      <c r="A234" s="95" t="s">
        <v>39</v>
      </c>
      <c r="B234" s="96" t="n">
        <v>-41</v>
      </c>
      <c r="C234" s="96" t="n">
        <v>20</v>
      </c>
      <c r="D234" s="96" t="n">
        <v>6.3</v>
      </c>
      <c r="E234" s="96" t="n">
        <v>52.3</v>
      </c>
      <c r="F234" s="96" t="n">
        <v>0.3</v>
      </c>
      <c r="G234" s="96" t="n">
        <v>3</v>
      </c>
      <c r="H234" s="96" t="n">
        <v>0</v>
      </c>
      <c r="I234" s="96" t="n">
        <v>0</v>
      </c>
      <c r="J234" s="96" t="n">
        <v>0</v>
      </c>
      <c r="K234" s="96" t="n">
        <v>0</v>
      </c>
      <c r="L234" s="96" t="n">
        <v>0</v>
      </c>
      <c r="M234" s="96" t="n">
        <v>0</v>
      </c>
      <c r="N234" s="56" t="n">
        <f aca="false">SUM(B234:M234)</f>
        <v>40.9</v>
      </c>
      <c r="O234" s="148" t="n">
        <f aca="false">SUM(B234:D234)</f>
        <v>-14.7</v>
      </c>
      <c r="P234" s="148" t="n">
        <f aca="false">SUM(E234:G234)</f>
        <v>55.6</v>
      </c>
      <c r="Q234" s="148" t="n">
        <f aca="false">SUM(H234:J234)</f>
        <v>0</v>
      </c>
      <c r="R234" s="148" t="n">
        <f aca="false">SUM(K234:M234)</f>
        <v>0</v>
      </c>
      <c r="S234" s="148" t="n">
        <f aca="false">SUM(O234:R234)</f>
        <v>40.9</v>
      </c>
      <c r="T234" s="56"/>
      <c r="U234" s="56"/>
      <c r="W234" s="108"/>
      <c r="Y234" s="108"/>
      <c r="AA234" s="108"/>
    </row>
    <row r="235" customFormat="false" ht="12.75" hidden="false" customHeight="false" outlineLevel="0" collapsed="false">
      <c r="A235" s="95" t="s">
        <v>22</v>
      </c>
      <c r="B235" s="99" t="n">
        <v>104</v>
      </c>
      <c r="C235" s="99" t="n">
        <v>70</v>
      </c>
      <c r="D235" s="99" t="n">
        <v>36.2</v>
      </c>
      <c r="E235" s="99" t="n">
        <v>111</v>
      </c>
      <c r="F235" s="99" t="n">
        <v>41.6</v>
      </c>
      <c r="G235" s="99" t="n">
        <v>37.9</v>
      </c>
      <c r="H235" s="99" t="n">
        <v>45</v>
      </c>
      <c r="I235" s="99" t="n">
        <v>21.6</v>
      </c>
      <c r="J235" s="99" t="n">
        <v>24.8</v>
      </c>
      <c r="K235" s="99" t="n">
        <f aca="false">Detail!W548/1000</f>
        <v>10.25232</v>
      </c>
      <c r="L235" s="99" t="n">
        <f aca="false">Detail!X548/1000</f>
        <v>17.6778</v>
      </c>
      <c r="M235" s="99" t="n">
        <f aca="false">Detail!Y548/1000</f>
        <v>41.55333</v>
      </c>
      <c r="N235" s="100" t="n">
        <f aca="false">SUM(B235:M235)</f>
        <v>561.58345</v>
      </c>
      <c r="O235" s="148" t="n">
        <f aca="false">SUM(B235:D235)</f>
        <v>210.2</v>
      </c>
      <c r="P235" s="148" t="n">
        <f aca="false">SUM(E235:G235)</f>
        <v>190.5</v>
      </c>
      <c r="Q235" s="148" t="n">
        <f aca="false">SUM(H235:J235)</f>
        <v>91.4</v>
      </c>
      <c r="R235" s="148" t="n">
        <f aca="false">SUM(K235:M235)</f>
        <v>69.48345</v>
      </c>
      <c r="S235" s="148" t="n">
        <f aca="false">SUM(O235:R235)</f>
        <v>561.58345</v>
      </c>
      <c r="T235" s="100" t="n">
        <v>361.51403</v>
      </c>
      <c r="U235" s="100" t="n">
        <v>361.51403</v>
      </c>
      <c r="X235" s="108"/>
      <c r="Z235" s="108"/>
      <c r="AB235" s="108"/>
    </row>
    <row r="236" customFormat="false" ht="12.75" hidden="false" customHeight="false" outlineLevel="0" collapsed="false">
      <c r="A236" s="92" t="s">
        <v>40</v>
      </c>
      <c r="B236" s="20" t="n">
        <f aca="false">SUM(B231:B235)</f>
        <v>624</v>
      </c>
      <c r="C236" s="20" t="n">
        <f aca="false">SUM(C231:C235)</f>
        <v>617</v>
      </c>
      <c r="D236" s="20" t="n">
        <f aca="false">SUM(D231:D235)</f>
        <v>1146.5</v>
      </c>
      <c r="E236" s="20" t="n">
        <f aca="false">SUM(E231:E235)</f>
        <v>728.9</v>
      </c>
      <c r="F236" s="20" t="n">
        <f aca="false">SUM(F231:F235)</f>
        <v>715.9</v>
      </c>
      <c r="G236" s="20" t="n">
        <f aca="false">SUM(G231:G235)</f>
        <v>941</v>
      </c>
      <c r="H236" s="20" t="n">
        <f aca="false">SUM(H231:H235)</f>
        <v>864</v>
      </c>
      <c r="I236" s="20" t="n">
        <f aca="false">SUM(I231:I235)</f>
        <v>643.8</v>
      </c>
      <c r="J236" s="20" t="n">
        <f aca="false">SUM(J231:J235)</f>
        <v>560.2</v>
      </c>
      <c r="K236" s="20" t="n">
        <f aca="false">SUM(K231:K235)</f>
        <v>481.90182</v>
      </c>
      <c r="L236" s="20" t="n">
        <f aca="false">SUM(L231:L235)</f>
        <v>804.1128</v>
      </c>
      <c r="M236" s="20" t="n">
        <f aca="false">SUM(M231:M235)</f>
        <v>965.4144</v>
      </c>
      <c r="N236" s="20" t="n">
        <f aca="false">SUM(N231:N235)</f>
        <v>9092.72902</v>
      </c>
      <c r="O236" s="20" t="n">
        <f aca="false">SUM(O231:O235)</f>
        <v>2387.5</v>
      </c>
      <c r="P236" s="20" t="n">
        <f aca="false">SUM(P231:P235)</f>
        <v>2385.8</v>
      </c>
      <c r="Q236" s="20" t="n">
        <f aca="false">SUM(Q231:Q235)</f>
        <v>2068</v>
      </c>
      <c r="R236" s="20" t="n">
        <f aca="false">SUM(R231:R235)</f>
        <v>2251.42902</v>
      </c>
      <c r="S236" s="20" t="n">
        <f aca="false">SUM(S231:S235)</f>
        <v>9092.72902</v>
      </c>
      <c r="T236" s="20" t="n">
        <f aca="false">SUM(T231:T235)</f>
        <v>5482.38931</v>
      </c>
      <c r="U236" s="20" t="n">
        <f aca="false">SUM(U231:U235)</f>
        <v>5882.38931</v>
      </c>
    </row>
    <row r="237" customFormat="false" ht="12.75" hidden="false" customHeight="false" outlineLevel="0" collapsed="false">
      <c r="A237" s="92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2"/>
      <c r="O237" s="162"/>
      <c r="P237" s="148"/>
      <c r="Q237" s="147"/>
      <c r="R237" s="147"/>
      <c r="S237" s="148"/>
      <c r="T237" s="162"/>
      <c r="U237" s="162"/>
    </row>
    <row r="238" customFormat="false" ht="12.75" hidden="false" customHeight="false" outlineLevel="0" collapsed="false">
      <c r="A238" s="92" t="s">
        <v>41</v>
      </c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56"/>
      <c r="O238" s="56"/>
      <c r="P238" s="148"/>
      <c r="Q238" s="147"/>
      <c r="R238" s="147"/>
      <c r="S238" s="148"/>
      <c r="T238" s="56"/>
      <c r="U238" s="56"/>
    </row>
    <row r="239" customFormat="false" ht="12.75" hidden="false" customHeight="false" outlineLevel="0" collapsed="false">
      <c r="A239" s="95" t="s">
        <v>14</v>
      </c>
      <c r="B239" s="96" t="n">
        <v>257</v>
      </c>
      <c r="C239" s="96" t="n">
        <v>231</v>
      </c>
      <c r="D239" s="96" t="n">
        <v>256.7</v>
      </c>
      <c r="E239" s="96" t="n">
        <v>247.3</v>
      </c>
      <c r="F239" s="96" t="n">
        <v>256.2</v>
      </c>
      <c r="G239" s="96" t="n">
        <v>248.3</v>
      </c>
      <c r="H239" s="96" t="n">
        <v>257</v>
      </c>
      <c r="I239" s="96" t="n">
        <v>256.7</v>
      </c>
      <c r="J239" s="96" t="n">
        <v>238.7</v>
      </c>
      <c r="K239" s="96" t="n">
        <f aca="false">Detail!W578/1000</f>
        <v>252.96</v>
      </c>
      <c r="L239" s="96" t="n">
        <f aca="false">Detail!X578/1000</f>
        <v>244.8</v>
      </c>
      <c r="M239" s="96" t="n">
        <f aca="false">Detail!Y578/1000</f>
        <v>252.96</v>
      </c>
      <c r="N239" s="56" t="n">
        <f aca="false">SUM(B239:M239)</f>
        <v>2999.62</v>
      </c>
      <c r="O239" s="148" t="n">
        <f aca="false">SUM(B239:D239)</f>
        <v>744.7</v>
      </c>
      <c r="P239" s="148" t="n">
        <f aca="false">SUM(E239:G239)</f>
        <v>751.8</v>
      </c>
      <c r="Q239" s="148" t="n">
        <f aca="false">SUM(H239:J239)</f>
        <v>752.4</v>
      </c>
      <c r="R239" s="148" t="n">
        <f aca="false">SUM(K239:M239)</f>
        <v>750.72</v>
      </c>
      <c r="S239" s="148" t="n">
        <f aca="false">SUM(O239:R239)</f>
        <v>2999.62</v>
      </c>
      <c r="T239" s="56" t="n">
        <v>2978.4</v>
      </c>
      <c r="U239" s="56" t="n">
        <v>2978.4</v>
      </c>
    </row>
    <row r="240" customFormat="false" ht="12.75" hidden="false" customHeight="false" outlineLevel="0" collapsed="false">
      <c r="A240" s="95" t="s">
        <v>18</v>
      </c>
      <c r="B240" s="96" t="n">
        <v>6</v>
      </c>
      <c r="C240" s="96" t="n">
        <v>5</v>
      </c>
      <c r="D240" s="96" t="n">
        <v>6.5</v>
      </c>
      <c r="E240" s="96" t="n">
        <v>10.1</v>
      </c>
      <c r="F240" s="96" t="n">
        <v>6.6</v>
      </c>
      <c r="G240" s="96" t="n">
        <v>6.9</v>
      </c>
      <c r="H240" s="96" t="n">
        <v>14</v>
      </c>
      <c r="I240" s="96" t="n">
        <v>13.6</v>
      </c>
      <c r="J240" s="96" t="n">
        <v>9.7</v>
      </c>
      <c r="K240" s="96" t="n">
        <f aca="false">Detail!W585/1000</f>
        <v>7.550112</v>
      </c>
      <c r="L240" s="96" t="n">
        <f aca="false">Detail!X585/1000</f>
        <v>10.87488</v>
      </c>
      <c r="M240" s="96" t="n">
        <f aca="false">Detail!Y585/1000</f>
        <v>11.237376</v>
      </c>
      <c r="N240" s="56" t="n">
        <f aca="false">SUM(B240:M240)</f>
        <v>108.062368</v>
      </c>
      <c r="O240" s="148" t="n">
        <f aca="false">SUM(B240:D240)</f>
        <v>17.5</v>
      </c>
      <c r="P240" s="148" t="n">
        <f aca="false">SUM(E240:G240)</f>
        <v>23.6</v>
      </c>
      <c r="Q240" s="148" t="n">
        <f aca="false">SUM(H240:J240)</f>
        <v>37.3</v>
      </c>
      <c r="R240" s="148" t="n">
        <f aca="false">SUM(K240:M240)</f>
        <v>29.662368</v>
      </c>
      <c r="S240" s="148" t="n">
        <f aca="false">SUM(O240:R240)</f>
        <v>108.062368</v>
      </c>
      <c r="T240" s="56" t="n">
        <v>129.01176</v>
      </c>
      <c r="U240" s="56" t="n">
        <v>129.01176</v>
      </c>
      <c r="W240" s="108"/>
      <c r="Y240" s="108"/>
      <c r="AA240" s="108"/>
    </row>
    <row r="241" customFormat="false" ht="12.75" hidden="false" customHeight="false" outlineLevel="0" collapsed="false">
      <c r="A241" s="95" t="s">
        <v>20</v>
      </c>
      <c r="B241" s="96" t="n">
        <v>0</v>
      </c>
      <c r="C241" s="96" t="n">
        <v>0</v>
      </c>
      <c r="D241" s="96" t="n">
        <v>0</v>
      </c>
      <c r="E241" s="96" t="n">
        <v>0</v>
      </c>
      <c r="F241" s="96" t="n">
        <v>0</v>
      </c>
      <c r="G241" s="96" t="n">
        <v>0</v>
      </c>
      <c r="H241" s="96" t="n">
        <v>0</v>
      </c>
      <c r="I241" s="96" t="n">
        <v>0</v>
      </c>
      <c r="J241" s="96" t="n">
        <v>0</v>
      </c>
      <c r="K241" s="96" t="n">
        <v>0</v>
      </c>
      <c r="L241" s="96" t="n">
        <v>0</v>
      </c>
      <c r="M241" s="96" t="n">
        <v>0</v>
      </c>
      <c r="N241" s="56" t="n">
        <f aca="false">SUM(B241:M241)</f>
        <v>0</v>
      </c>
      <c r="O241" s="148" t="n">
        <f aca="false">SUM(B241:D241)</f>
        <v>0</v>
      </c>
      <c r="P241" s="148" t="n">
        <f aca="false">SUM(E241:G241)</f>
        <v>0</v>
      </c>
      <c r="Q241" s="148" t="n">
        <f aca="false">SUM(H241:J241)</f>
        <v>0</v>
      </c>
      <c r="R241" s="148" t="n">
        <f aca="false">SUM(K241:M241)</f>
        <v>0</v>
      </c>
      <c r="S241" s="148" t="n">
        <f aca="false">SUM(O241:R241)</f>
        <v>0</v>
      </c>
      <c r="T241" s="56" t="n">
        <v>0</v>
      </c>
      <c r="U241" s="56" t="n">
        <v>0</v>
      </c>
      <c r="W241" s="108"/>
      <c r="Y241" s="108"/>
      <c r="AA241" s="108"/>
    </row>
    <row r="242" customFormat="false" ht="12.75" hidden="false" customHeight="false" outlineLevel="0" collapsed="false">
      <c r="A242" s="95" t="s">
        <v>22</v>
      </c>
      <c r="B242" s="99" t="n">
        <v>24</v>
      </c>
      <c r="C242" s="99" t="n">
        <v>13</v>
      </c>
      <c r="D242" s="99" t="n">
        <v>0.9</v>
      </c>
      <c r="E242" s="99" t="n">
        <v>0</v>
      </c>
      <c r="F242" s="99" t="n">
        <v>30.4</v>
      </c>
      <c r="G242" s="99" t="n">
        <v>29.7</v>
      </c>
      <c r="H242" s="99" t="n">
        <v>8</v>
      </c>
      <c r="I242" s="99" t="n">
        <v>4.7</v>
      </c>
      <c r="J242" s="99" t="n">
        <v>0</v>
      </c>
      <c r="K242" s="99" t="n">
        <v>0</v>
      </c>
      <c r="L242" s="99" t="n">
        <v>0</v>
      </c>
      <c r="M242" s="99" t="n">
        <v>0</v>
      </c>
      <c r="N242" s="100" t="n">
        <f aca="false">SUM(B242:M242)</f>
        <v>110.7</v>
      </c>
      <c r="O242" s="148" t="n">
        <f aca="false">SUM(B242:D242)</f>
        <v>37.9</v>
      </c>
      <c r="P242" s="148" t="n">
        <f aca="false">SUM(E242:G242)</f>
        <v>60.1</v>
      </c>
      <c r="Q242" s="148" t="n">
        <f aca="false">SUM(H242:J242)</f>
        <v>12.7</v>
      </c>
      <c r="R242" s="148" t="n">
        <f aca="false">SUM(K242:M242)</f>
        <v>0</v>
      </c>
      <c r="S242" s="148" t="n">
        <f aca="false">SUM(O242:R242)</f>
        <v>110.7</v>
      </c>
      <c r="T242" s="100" t="n">
        <v>0</v>
      </c>
      <c r="U242" s="100" t="n">
        <v>0</v>
      </c>
      <c r="X242" s="108"/>
      <c r="Z242" s="108"/>
      <c r="AB242" s="108"/>
    </row>
    <row r="243" customFormat="false" ht="12.75" hidden="false" customHeight="false" outlineLevel="0" collapsed="false">
      <c r="A243" s="92" t="s">
        <v>42</v>
      </c>
      <c r="B243" s="20" t="n">
        <f aca="false">SUM(B239:B242)</f>
        <v>287</v>
      </c>
      <c r="C243" s="20" t="n">
        <f aca="false">SUM(C239:C242)</f>
        <v>249</v>
      </c>
      <c r="D243" s="20" t="n">
        <f aca="false">SUM(D239:D242)</f>
        <v>264.1</v>
      </c>
      <c r="E243" s="20" t="n">
        <f aca="false">SUM(E239:E242)</f>
        <v>257.4</v>
      </c>
      <c r="F243" s="20" t="n">
        <f aca="false">SUM(F239:F242)</f>
        <v>293.2</v>
      </c>
      <c r="G243" s="20" t="n">
        <f aca="false">SUM(G239:G242)</f>
        <v>284.9</v>
      </c>
      <c r="H243" s="20" t="n">
        <f aca="false">SUM(H239:H242)</f>
        <v>279</v>
      </c>
      <c r="I243" s="20" t="n">
        <f aca="false">SUM(I239:I242)</f>
        <v>275</v>
      </c>
      <c r="J243" s="20" t="n">
        <f aca="false">SUM(J239:J242)</f>
        <v>248.4</v>
      </c>
      <c r="K243" s="20" t="n">
        <f aca="false">SUM(K239:K242)</f>
        <v>260.510112</v>
      </c>
      <c r="L243" s="20" t="n">
        <f aca="false">SUM(L239:L242)</f>
        <v>255.67488</v>
      </c>
      <c r="M243" s="20" t="n">
        <f aca="false">SUM(M239:M242)</f>
        <v>264.197376</v>
      </c>
      <c r="N243" s="20" t="n">
        <f aca="false">SUM(N239:N242)</f>
        <v>3218.382368</v>
      </c>
      <c r="O243" s="167" t="n">
        <f aca="false">SUM(O239:O242)</f>
        <v>800.1</v>
      </c>
      <c r="P243" s="167" t="n">
        <f aca="false">SUM(P239:P242)</f>
        <v>835.5</v>
      </c>
      <c r="Q243" s="167" t="n">
        <f aca="false">SUM(Q239:Q242)</f>
        <v>802.4</v>
      </c>
      <c r="R243" s="167" t="n">
        <f aca="false">SUM(R239:R242)</f>
        <v>780.382368</v>
      </c>
      <c r="S243" s="167" t="n">
        <f aca="false">SUM(S239:S242)</f>
        <v>3218.382368</v>
      </c>
      <c r="T243" s="20" t="n">
        <f aca="false">SUM(T239:T242)</f>
        <v>3107.41176</v>
      </c>
      <c r="U243" s="20" t="n">
        <f aca="false">SUM(U239:U242)</f>
        <v>3107.41176</v>
      </c>
      <c r="X243" s="108"/>
      <c r="Z243" s="108"/>
      <c r="AB243" s="108"/>
    </row>
    <row r="244" customFormat="false" ht="12.75" hidden="false" customHeight="false" outlineLevel="0" collapsed="false">
      <c r="A244" s="95"/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2"/>
      <c r="O244" s="162"/>
      <c r="P244" s="148"/>
      <c r="Q244" s="148"/>
      <c r="R244" s="148"/>
      <c r="S244" s="148"/>
      <c r="T244" s="162"/>
      <c r="U244" s="162"/>
      <c r="X244" s="108"/>
      <c r="Z244" s="108"/>
      <c r="AB244" s="108"/>
    </row>
    <row r="245" customFormat="false" ht="12.75" hidden="false" customHeight="false" outlineLevel="0" collapsed="false">
      <c r="A245" s="92" t="s">
        <v>43</v>
      </c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56"/>
      <c r="O245" s="56"/>
      <c r="P245" s="135"/>
      <c r="Q245" s="147"/>
      <c r="R245" s="147"/>
      <c r="S245" s="148"/>
      <c r="T245" s="56"/>
      <c r="U245" s="56"/>
    </row>
    <row r="246" customFormat="false" ht="12.75" hidden="false" customHeight="false" outlineLevel="0" collapsed="false">
      <c r="A246" s="95" t="s">
        <v>14</v>
      </c>
      <c r="B246" s="96" t="n">
        <v>615</v>
      </c>
      <c r="C246" s="96" t="n">
        <v>419</v>
      </c>
      <c r="D246" s="96" t="n">
        <v>382.1</v>
      </c>
      <c r="E246" s="96" t="n">
        <v>429.6</v>
      </c>
      <c r="F246" s="96" t="n">
        <v>462</v>
      </c>
      <c r="G246" s="96" t="n">
        <v>358.2</v>
      </c>
      <c r="H246" s="96" t="n">
        <v>457</v>
      </c>
      <c r="I246" s="96" t="n">
        <v>463.3</v>
      </c>
      <c r="J246" s="96" t="n">
        <v>447.2</v>
      </c>
      <c r="K246" s="96" t="n">
        <f aca="false">Detail!W610/1000</f>
        <v>463.4376</v>
      </c>
      <c r="L246" s="96" t="n">
        <f aca="false">Detail!X610/1000</f>
        <v>448.488</v>
      </c>
      <c r="M246" s="96" t="n">
        <f aca="false">Detail!Y610/1000</f>
        <v>335.35552</v>
      </c>
      <c r="N246" s="56" t="n">
        <f aca="false">SUM(B246:M246)</f>
        <v>5280.68112</v>
      </c>
      <c r="O246" s="148" t="n">
        <f aca="false">SUM(B246:D246)</f>
        <v>1416.1</v>
      </c>
      <c r="P246" s="148" t="n">
        <f aca="false">SUM(E246:G246)</f>
        <v>1249.8</v>
      </c>
      <c r="Q246" s="148" t="n">
        <f aca="false">SUM(H246:J246)</f>
        <v>1367.5</v>
      </c>
      <c r="R246" s="148" t="n">
        <f aca="false">SUM(K246:M246)</f>
        <v>1247.28112</v>
      </c>
      <c r="S246" s="148" t="n">
        <f aca="false">SUM(O246:R246)</f>
        <v>5280.68112</v>
      </c>
      <c r="T246" s="56" t="n">
        <f aca="false">5349.573888-24.1</f>
        <v>5325.473888</v>
      </c>
      <c r="U246" s="56" t="n">
        <f aca="false">5349.573888-24.1</f>
        <v>5325.473888</v>
      </c>
    </row>
    <row r="247" customFormat="false" ht="12.75" hidden="false" customHeight="false" outlineLevel="0" collapsed="false">
      <c r="A247" s="95" t="s">
        <v>18</v>
      </c>
      <c r="B247" s="96" t="n">
        <v>30</v>
      </c>
      <c r="C247" s="96" t="n">
        <v>22</v>
      </c>
      <c r="D247" s="96" t="n">
        <v>21.2</v>
      </c>
      <c r="E247" s="96" t="n">
        <v>47</v>
      </c>
      <c r="F247" s="96" t="n">
        <v>42.4</v>
      </c>
      <c r="G247" s="96" t="n">
        <v>38.1</v>
      </c>
      <c r="H247" s="96" t="n">
        <v>36</v>
      </c>
      <c r="I247" s="96" t="n">
        <v>36.1</v>
      </c>
      <c r="J247" s="96" t="n">
        <v>36</v>
      </c>
      <c r="K247" s="96" t="n">
        <f aca="false">Detail!W616/1000</f>
        <v>35.8112</v>
      </c>
      <c r="L247" s="96" t="n">
        <f aca="false">Detail!X616/1000</f>
        <v>34.656</v>
      </c>
      <c r="M247" s="96" t="n">
        <f aca="false">Detail!Y616/1000</f>
        <v>24.24448</v>
      </c>
      <c r="N247" s="56" t="n">
        <f aca="false">SUM(B247:M247)</f>
        <v>403.51168</v>
      </c>
      <c r="O247" s="148" t="n">
        <f aca="false">SUM(B247:D247)</f>
        <v>73.2</v>
      </c>
      <c r="P247" s="148" t="n">
        <f aca="false">SUM(E247:G247)</f>
        <v>127.5</v>
      </c>
      <c r="Q247" s="148" t="n">
        <f aca="false">SUM(H247:J247)</f>
        <v>108.1</v>
      </c>
      <c r="R247" s="148" t="n">
        <f aca="false">SUM(K247:M247)</f>
        <v>94.71168</v>
      </c>
      <c r="S247" s="148" t="n">
        <f aca="false">SUM(O247:R247)</f>
        <v>403.51168</v>
      </c>
      <c r="T247" s="56" t="n">
        <v>414.460096</v>
      </c>
      <c r="U247" s="56" t="n">
        <v>414.460096</v>
      </c>
      <c r="W247" s="108"/>
      <c r="Y247" s="108"/>
      <c r="AA247" s="108"/>
    </row>
    <row r="248" customFormat="false" ht="12.75" hidden="false" customHeight="false" outlineLevel="0" collapsed="false">
      <c r="A248" s="95" t="s">
        <v>20</v>
      </c>
      <c r="B248" s="96"/>
      <c r="C248" s="96" t="n">
        <v>0</v>
      </c>
      <c r="D248" s="96" t="n">
        <v>0</v>
      </c>
      <c r="E248" s="96" t="n">
        <v>0</v>
      </c>
      <c r="F248" s="96" t="n">
        <v>0</v>
      </c>
      <c r="G248" s="96" t="n">
        <v>0</v>
      </c>
      <c r="H248" s="96" t="n">
        <v>0</v>
      </c>
      <c r="I248" s="96" t="n">
        <v>0</v>
      </c>
      <c r="J248" s="96" t="n">
        <v>0</v>
      </c>
      <c r="K248" s="96" t="n">
        <v>0</v>
      </c>
      <c r="L248" s="96" t="n">
        <v>0</v>
      </c>
      <c r="M248" s="96" t="n">
        <v>0</v>
      </c>
      <c r="N248" s="56" t="n">
        <f aca="false">SUM(B248:M248)</f>
        <v>0</v>
      </c>
      <c r="O248" s="148" t="n">
        <f aca="false">SUM(B248:D248)</f>
        <v>0</v>
      </c>
      <c r="P248" s="148" t="n">
        <f aca="false">SUM(E248:G248)</f>
        <v>0</v>
      </c>
      <c r="Q248" s="148" t="n">
        <f aca="false">SUM(H248:J248)</f>
        <v>0</v>
      </c>
      <c r="R248" s="148" t="n">
        <f aca="false">SUM(K248:M248)</f>
        <v>0</v>
      </c>
      <c r="S248" s="148" t="n">
        <f aca="false">SUM(O248:R248)</f>
        <v>0</v>
      </c>
      <c r="T248" s="56" t="n">
        <v>0</v>
      </c>
      <c r="U248" s="56" t="n">
        <v>0</v>
      </c>
      <c r="W248" s="108"/>
      <c r="Y248" s="108"/>
      <c r="AA248" s="108"/>
    </row>
    <row r="249" customFormat="false" ht="12.75" hidden="false" customHeight="false" outlineLevel="0" collapsed="false">
      <c r="A249" s="95" t="s">
        <v>22</v>
      </c>
      <c r="B249" s="99" t="n">
        <f aca="false">11+4</f>
        <v>15</v>
      </c>
      <c r="C249" s="99" t="n">
        <v>33</v>
      </c>
      <c r="D249" s="99" t="n">
        <v>24.7</v>
      </c>
      <c r="E249" s="99" t="n">
        <v>33.8</v>
      </c>
      <c r="F249" s="99" t="n">
        <v>25.9</v>
      </c>
      <c r="G249" s="99" t="n">
        <v>11.6</v>
      </c>
      <c r="H249" s="99" t="n">
        <v>15</v>
      </c>
      <c r="I249" s="99" t="n">
        <v>3.2</v>
      </c>
      <c r="J249" s="99" t="n">
        <v>0</v>
      </c>
      <c r="K249" s="99" t="n">
        <f aca="false">Detail!W620/1000</f>
        <v>12.4</v>
      </c>
      <c r="L249" s="99" t="n">
        <f aca="false">Detail!X620/1000</f>
        <v>10.836</v>
      </c>
      <c r="M249" s="99" t="n">
        <f aca="false">Detail!Y620/1000</f>
        <v>34.03738</v>
      </c>
      <c r="N249" s="100" t="n">
        <f aca="false">SUM(B249:M249)</f>
        <v>219.47338</v>
      </c>
      <c r="O249" s="148" t="n">
        <f aca="false">SUM(B249:D249)</f>
        <v>72.7</v>
      </c>
      <c r="P249" s="148" t="n">
        <f aca="false">SUM(E249:G249)</f>
        <v>71.3</v>
      </c>
      <c r="Q249" s="148" t="n">
        <f aca="false">SUM(H249:J249)</f>
        <v>18.2</v>
      </c>
      <c r="R249" s="148" t="n">
        <f aca="false">SUM(K249:M249)</f>
        <v>57.27338</v>
      </c>
      <c r="S249" s="148" t="n">
        <f aca="false">SUM(O249:R249)</f>
        <v>219.47338</v>
      </c>
      <c r="T249" s="100" t="n">
        <v>142.8393</v>
      </c>
      <c r="U249" s="100" t="n">
        <v>142.8393</v>
      </c>
      <c r="X249" s="108"/>
      <c r="Z249" s="108"/>
      <c r="AB249" s="108"/>
    </row>
    <row r="250" customFormat="false" ht="12.75" hidden="false" customHeight="false" outlineLevel="0" collapsed="false">
      <c r="A250" s="92" t="s">
        <v>44</v>
      </c>
      <c r="B250" s="22" t="n">
        <f aca="false">SUM(B246:B249)</f>
        <v>660</v>
      </c>
      <c r="C250" s="22" t="n">
        <f aca="false">SUM(C246:C249)</f>
        <v>474</v>
      </c>
      <c r="D250" s="22" t="n">
        <f aca="false">SUM(D246:D249)</f>
        <v>428</v>
      </c>
      <c r="E250" s="22" t="n">
        <f aca="false">SUM(E246:E249)</f>
        <v>510.4</v>
      </c>
      <c r="F250" s="22" t="n">
        <f aca="false">SUM(F246:F249)</f>
        <v>530.3</v>
      </c>
      <c r="G250" s="22" t="n">
        <f aca="false">SUM(G246:G249)</f>
        <v>407.9</v>
      </c>
      <c r="H250" s="22" t="n">
        <f aca="false">SUM(H246:H249)</f>
        <v>508</v>
      </c>
      <c r="I250" s="22" t="n">
        <f aca="false">SUM(I246:I249)</f>
        <v>502.6</v>
      </c>
      <c r="J250" s="22" t="n">
        <f aca="false">SUM(J246:J249)</f>
        <v>483.2</v>
      </c>
      <c r="K250" s="22" t="n">
        <f aca="false">SUM(K246:K249)</f>
        <v>511.6488</v>
      </c>
      <c r="L250" s="22" t="n">
        <f aca="false">SUM(L246:L249)</f>
        <v>493.98</v>
      </c>
      <c r="M250" s="22" t="n">
        <f aca="false">SUM(M246:M249)</f>
        <v>393.63738</v>
      </c>
      <c r="N250" s="117" t="n">
        <f aca="false">SUM(N246:N249)</f>
        <v>5903.66618</v>
      </c>
      <c r="O250" s="117" t="n">
        <f aca="false">SUM(O246:O249)</f>
        <v>1562</v>
      </c>
      <c r="P250" s="117" t="n">
        <f aca="false">SUM(P246:P249)</f>
        <v>1448.6</v>
      </c>
      <c r="Q250" s="117" t="n">
        <f aca="false">SUM(Q246:Q249)</f>
        <v>1493.8</v>
      </c>
      <c r="R250" s="117" t="n">
        <f aca="false">SUM(R246:R249)</f>
        <v>1399.26618</v>
      </c>
      <c r="S250" s="117" t="n">
        <f aca="false">SUM(S246:S249)</f>
        <v>5903.66618</v>
      </c>
      <c r="T250" s="117" t="n">
        <f aca="false">SUM(T246:T249)</f>
        <v>5882.773284</v>
      </c>
      <c r="U250" s="117" t="n">
        <f aca="false">SUM(U246:U249)</f>
        <v>5882.773284</v>
      </c>
      <c r="X250" s="108"/>
      <c r="Z250" s="108"/>
      <c r="AB250" s="108"/>
    </row>
    <row r="251" customFormat="false" ht="12.75" hidden="false" customHeight="false" outlineLevel="0" collapsed="false">
      <c r="A251" s="110" t="s">
        <v>45</v>
      </c>
      <c r="B251" s="20" t="n">
        <f aca="false">+B224+B231+B239+B246</f>
        <v>1401</v>
      </c>
      <c r="C251" s="20" t="n">
        <f aca="false">+C224+C231+C239+C246</f>
        <v>1139</v>
      </c>
      <c r="D251" s="20" t="n">
        <f aca="false">+D224+D231+D239+D246</f>
        <v>1687.1</v>
      </c>
      <c r="E251" s="20" t="n">
        <f aca="false">+E224+E231+E239+E246</f>
        <v>1211.8</v>
      </c>
      <c r="F251" s="20" t="n">
        <f aca="false">+F224+F231+F239+F246</f>
        <v>1321.2</v>
      </c>
      <c r="G251" s="20" t="n">
        <f aca="false">+G224+G231+G239+G246</f>
        <v>1460.8</v>
      </c>
      <c r="H251" s="20" t="n">
        <f aca="false">+H224+H231+H239+H246</f>
        <v>1473</v>
      </c>
      <c r="I251" s="20" t="n">
        <f aca="false">+I224+I231+I239+I246</f>
        <v>1263.2</v>
      </c>
      <c r="J251" s="20" t="n">
        <f aca="false">+J224+J231+J239+J246</f>
        <v>1157</v>
      </c>
      <c r="K251" s="20" t="n">
        <f aca="false">+K224+K231+K239+K246</f>
        <v>1110.929733</v>
      </c>
      <c r="L251" s="20" t="n">
        <f aca="false">+L224+L231+L239+L246</f>
        <v>1396.72608</v>
      </c>
      <c r="M251" s="20" t="n">
        <f aca="false">+M224+M231+M239+M246</f>
        <v>1418.5717490434</v>
      </c>
      <c r="N251" s="117" t="n">
        <f aca="false">+N224+N231+N239+N246</f>
        <v>16040.3275620434</v>
      </c>
      <c r="O251" s="117" t="n">
        <f aca="false">+O224+O231+O239+O246</f>
        <v>4227.1</v>
      </c>
      <c r="P251" s="117" t="n">
        <f aca="false">+P224+P231+P239+P246</f>
        <v>3993.8</v>
      </c>
      <c r="Q251" s="117" t="n">
        <f aca="false">+Q224+Q231+Q239+Q246</f>
        <v>3893.2</v>
      </c>
      <c r="R251" s="117" t="n">
        <f aca="false">+R224+R231+R239+R246</f>
        <v>3926.2275620434</v>
      </c>
      <c r="S251" s="117" t="n">
        <f aca="false">+S224+S231+S239+S246</f>
        <v>16040.3275620434</v>
      </c>
      <c r="T251" s="117" t="n">
        <f aca="false">+T224+T231+T239+T246</f>
        <v>12503.5175519623</v>
      </c>
      <c r="U251" s="117" t="n">
        <f aca="false">+U224+U231+U239+U246</f>
        <v>12903.5175519623</v>
      </c>
    </row>
    <row r="252" customFormat="false" ht="12.75" hidden="false" customHeight="false" outlineLevel="0" collapsed="false">
      <c r="A252" s="110" t="s">
        <v>46</v>
      </c>
      <c r="B252" s="159" t="n">
        <f aca="false">B225+B226+B227+B232+B233+B234+B235+B240+B241+B242+B247+B248+B249</f>
        <v>192</v>
      </c>
      <c r="C252" s="159" t="n">
        <f aca="false">+C228+C236+C243+C250-C251</f>
        <v>221</v>
      </c>
      <c r="D252" s="159" t="n">
        <f aca="false">+D228+D236+D243+D250-D251</f>
        <v>213.1</v>
      </c>
      <c r="E252" s="159" t="n">
        <f aca="false">+E228+E236+E243+E250-E251</f>
        <v>352</v>
      </c>
      <c r="F252" s="159" t="n">
        <f aca="false">+F228+F236+F243+F250-F251</f>
        <v>253</v>
      </c>
      <c r="G252" s="159" t="n">
        <f aca="false">+G228+G236+G243+G250-G251</f>
        <v>240.3</v>
      </c>
      <c r="H252" s="159" t="n">
        <f aca="false">+H228+H236+H243+H250-H251</f>
        <v>223</v>
      </c>
      <c r="I252" s="159" t="n">
        <f aca="false">+I228+I236+I243+I250-I251</f>
        <v>184.2</v>
      </c>
      <c r="J252" s="159" t="n">
        <f aca="false">+J228+J236+J243+J250-J251</f>
        <v>152.8</v>
      </c>
      <c r="K252" s="159" t="n">
        <f aca="false">+K228+K236+K243+K250-K251</f>
        <v>143.130999</v>
      </c>
      <c r="L252" s="159" t="n">
        <f aca="false">+L228+L236+L243+L250-L251</f>
        <v>157.0416</v>
      </c>
      <c r="M252" s="159" t="n">
        <f aca="false">+M228+M236+M243+M250-M251</f>
        <v>204.6774069566</v>
      </c>
      <c r="N252" s="117" t="n">
        <f aca="false">SUM(B252:M252)</f>
        <v>2536.2500059566</v>
      </c>
      <c r="O252" s="117" t="n">
        <f aca="false">SUM(B252:D252)</f>
        <v>626.1</v>
      </c>
      <c r="P252" s="117" t="n">
        <f aca="false">SUM(E252:G252)</f>
        <v>845.3</v>
      </c>
      <c r="Q252" s="117" t="n">
        <f aca="false">SUM(H252:J252)</f>
        <v>560</v>
      </c>
      <c r="R252" s="117" t="n">
        <f aca="false">SUM(K252:M252)</f>
        <v>504.8500059566</v>
      </c>
      <c r="S252" s="117" t="n">
        <f aca="false">SUM(O252:R252)</f>
        <v>2536.2500059566</v>
      </c>
      <c r="T252" s="117" t="n">
        <f aca="false">T249+T248+T247+T242+T241+T240+T235+T233+T234+T232+T227+T226+T225</f>
        <v>1969.0568020377</v>
      </c>
      <c r="U252" s="117" t="n">
        <f aca="false">U249+U248+U247+U242+U241+U240+U235+U233+U234+U232+U227+U226+U225</f>
        <v>1969.0568020377</v>
      </c>
      <c r="W252" s="168"/>
      <c r="X252" s="168"/>
      <c r="Y252" s="168"/>
      <c r="Z252" s="168"/>
      <c r="AA252" s="168"/>
      <c r="AB252" s="168"/>
    </row>
    <row r="253" customFormat="false" ht="12.75" hidden="false" customHeight="false" outlineLevel="0" collapsed="false">
      <c r="A253" s="110" t="s">
        <v>47</v>
      </c>
      <c r="B253" s="159" t="n">
        <f aca="false">SUM(B251:B252)</f>
        <v>1593</v>
      </c>
      <c r="C253" s="159" t="n">
        <f aca="false">SUM(C251:C252)</f>
        <v>1360</v>
      </c>
      <c r="D253" s="159" t="n">
        <f aca="false">SUM(D251:D252)</f>
        <v>1900.2</v>
      </c>
      <c r="E253" s="159" t="n">
        <f aca="false">SUM(E251:E252)</f>
        <v>1563.8</v>
      </c>
      <c r="F253" s="159" t="n">
        <f aca="false">SUM(F251:F252)</f>
        <v>1574.2</v>
      </c>
      <c r="G253" s="159" t="n">
        <f aca="false">SUM(G251:G252)</f>
        <v>1701.1</v>
      </c>
      <c r="H253" s="159" t="n">
        <f aca="false">SUM(H251:H252)</f>
        <v>1696</v>
      </c>
      <c r="I253" s="159" t="n">
        <f aca="false">SUM(I251:I252)</f>
        <v>1447.4</v>
      </c>
      <c r="J253" s="159" t="n">
        <f aca="false">SUM(J251:J252)</f>
        <v>1309.8</v>
      </c>
      <c r="K253" s="159" t="n">
        <f aca="false">SUM(K251:K252)</f>
        <v>1254.060732</v>
      </c>
      <c r="L253" s="159" t="n">
        <f aca="false">SUM(L251:L252)</f>
        <v>1553.76768</v>
      </c>
      <c r="M253" s="159" t="n">
        <f aca="false">SUM(M251:M252)</f>
        <v>1623.249156</v>
      </c>
      <c r="N253" s="117" t="n">
        <f aca="false">SUM(N251:N252)</f>
        <v>18576.577568</v>
      </c>
      <c r="O253" s="117" t="n">
        <f aca="false">SUM(O251:O252)</f>
        <v>4853.2</v>
      </c>
      <c r="P253" s="117" t="n">
        <f aca="false">SUM(P251:P252)</f>
        <v>4839.1</v>
      </c>
      <c r="Q253" s="117" t="n">
        <f aca="false">SUM(Q251:Q252)</f>
        <v>4453.2</v>
      </c>
      <c r="R253" s="117" t="n">
        <f aca="false">SUM(R251:R252)</f>
        <v>4431.077568</v>
      </c>
      <c r="S253" s="117" t="n">
        <f aca="false">SUM(S251:S252)</f>
        <v>18576.577568</v>
      </c>
      <c r="T253" s="117" t="n">
        <f aca="false">SUM(T251:T252)</f>
        <v>14472.574354</v>
      </c>
      <c r="U253" s="117" t="n">
        <f aca="false">SUM(U251:U252)</f>
        <v>14872.574354</v>
      </c>
    </row>
    <row r="254" customFormat="false" ht="12.75" hidden="false" customHeight="false" outlineLevel="0" collapsed="false">
      <c r="A254" s="113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3"/>
      <c r="O254" s="163"/>
      <c r="P254" s="164"/>
      <c r="Q254" s="164"/>
      <c r="R254" s="164"/>
      <c r="S254" s="164"/>
      <c r="T254" s="163"/>
      <c r="U254" s="163"/>
    </row>
    <row r="255" customFormat="false" ht="15.75" hidden="false" customHeight="false" outlineLevel="0" collapsed="false">
      <c r="A255" s="91" t="s">
        <v>48</v>
      </c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4"/>
      <c r="Q255" s="164"/>
      <c r="R255" s="164"/>
      <c r="S255" s="164"/>
      <c r="T255" s="162"/>
      <c r="U255" s="162"/>
    </row>
    <row r="256" customFormat="false" ht="12.75" hidden="false" customHeight="false" outlineLevel="0" collapsed="false">
      <c r="A256" s="92" t="s">
        <v>49</v>
      </c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3"/>
      <c r="O256" s="163"/>
      <c r="P256" s="148"/>
      <c r="Q256" s="147"/>
      <c r="R256" s="147"/>
      <c r="S256" s="148"/>
      <c r="T256" s="163"/>
      <c r="U256" s="163"/>
    </row>
    <row r="257" customFormat="false" ht="12.75" hidden="false" customHeight="false" outlineLevel="0" collapsed="false">
      <c r="A257" s="95" t="s">
        <v>14</v>
      </c>
      <c r="B257" s="106" t="n">
        <v>427</v>
      </c>
      <c r="C257" s="106" t="n">
        <v>311</v>
      </c>
      <c r="D257" s="106" t="n">
        <v>387.8</v>
      </c>
      <c r="E257" s="106" t="n">
        <v>375.4</v>
      </c>
      <c r="F257" s="106" t="n">
        <v>388.1</v>
      </c>
      <c r="G257" s="106" t="n">
        <v>376.4</v>
      </c>
      <c r="H257" s="106" t="n">
        <v>394</v>
      </c>
      <c r="I257" s="106" t="n">
        <v>373.4</v>
      </c>
      <c r="J257" s="106" t="n">
        <v>421.4</v>
      </c>
      <c r="K257" s="106" t="n">
        <f aca="false">Detail!W362/1000</f>
        <v>383.9377776</v>
      </c>
      <c r="L257" s="106" t="n">
        <f aca="false">Detail!X362/1000</f>
        <v>389.518536</v>
      </c>
      <c r="M257" s="106" t="n">
        <f aca="false">Detail!Y362/1000</f>
        <v>404.7290808</v>
      </c>
      <c r="N257" s="56" t="n">
        <f aca="false">SUM(B257:M257)</f>
        <v>4632.6853944</v>
      </c>
      <c r="O257" s="148" t="n">
        <f aca="false">SUM(B257:D257)</f>
        <v>1125.8</v>
      </c>
      <c r="P257" s="148" t="n">
        <f aca="false">SUM(E257:G257)</f>
        <v>1139.9</v>
      </c>
      <c r="Q257" s="148" t="n">
        <f aca="false">SUM(H257:J257)</f>
        <v>1188.8</v>
      </c>
      <c r="R257" s="148" t="n">
        <f aca="false">SUM(K257:M257)</f>
        <v>1178.1853944</v>
      </c>
      <c r="S257" s="148" t="n">
        <f aca="false">SUM(O257:R257)</f>
        <v>4632.6853944</v>
      </c>
      <c r="T257" s="56" t="n">
        <v>4825.4303014</v>
      </c>
      <c r="U257" s="56" t="n">
        <v>4825.4303014</v>
      </c>
    </row>
    <row r="258" customFormat="false" ht="12.75" hidden="false" customHeight="false" outlineLevel="0" collapsed="false">
      <c r="A258" s="95" t="s">
        <v>18</v>
      </c>
      <c r="B258" s="96" t="n">
        <v>8</v>
      </c>
      <c r="C258" s="96" t="n">
        <v>8</v>
      </c>
      <c r="D258" s="96" t="n">
        <v>8.2</v>
      </c>
      <c r="E258" s="96" t="n">
        <v>6.1</v>
      </c>
      <c r="F258" s="96" t="n">
        <v>7.1</v>
      </c>
      <c r="G258" s="96" t="n">
        <v>6.8</v>
      </c>
      <c r="H258" s="96" t="n">
        <v>23.9</v>
      </c>
      <c r="I258" s="96" t="n">
        <v>26</v>
      </c>
      <c r="J258" s="96" t="n">
        <v>7.8</v>
      </c>
      <c r="K258" s="96" t="n">
        <f aca="false">Detail!W374/1000</f>
        <v>12.0872224</v>
      </c>
      <c r="L258" s="96" t="n">
        <f aca="false">Detail!X374/1000</f>
        <v>11.431464</v>
      </c>
      <c r="M258" s="96" t="n">
        <f aca="false">Detail!Y374/1000</f>
        <v>9.5859192</v>
      </c>
      <c r="N258" s="56" t="n">
        <f aca="false">SUM(B258:M258)</f>
        <v>135.0046056</v>
      </c>
      <c r="O258" s="148" t="n">
        <f aca="false">SUM(B258:D258)</f>
        <v>24.2</v>
      </c>
      <c r="P258" s="148" t="n">
        <f aca="false">SUM(E258:G258)</f>
        <v>20</v>
      </c>
      <c r="Q258" s="148" t="n">
        <f aca="false">SUM(H258:J258)</f>
        <v>57.7</v>
      </c>
      <c r="R258" s="148" t="n">
        <f aca="false">SUM(K258:M258)</f>
        <v>33.1046056</v>
      </c>
      <c r="S258" s="148" t="n">
        <f aca="false">SUM(O258:R258)</f>
        <v>135.0046056</v>
      </c>
      <c r="T258" s="56" t="n">
        <v>136.2346986</v>
      </c>
      <c r="U258" s="56" t="n">
        <v>136.2346986</v>
      </c>
      <c r="W258" s="108"/>
      <c r="Y258" s="108"/>
      <c r="AA258" s="108"/>
    </row>
    <row r="259" customFormat="false" ht="12.75" hidden="false" customHeight="false" outlineLevel="0" collapsed="false">
      <c r="A259" s="95" t="s">
        <v>20</v>
      </c>
      <c r="B259" s="96" t="n">
        <v>1</v>
      </c>
      <c r="C259" s="96"/>
      <c r="D259" s="96" t="n">
        <v>0</v>
      </c>
      <c r="E259" s="96" t="n">
        <v>0</v>
      </c>
      <c r="F259" s="96" t="n">
        <v>0</v>
      </c>
      <c r="G259" s="96" t="n">
        <v>0</v>
      </c>
      <c r="H259" s="96" t="n">
        <v>0</v>
      </c>
      <c r="I259" s="96" t="n">
        <v>0</v>
      </c>
      <c r="J259" s="96" t="n">
        <v>0</v>
      </c>
      <c r="K259" s="96" t="n">
        <v>0</v>
      </c>
      <c r="L259" s="96" t="n">
        <v>0</v>
      </c>
      <c r="M259" s="96" t="n">
        <v>0</v>
      </c>
      <c r="N259" s="56" t="n">
        <f aca="false">SUM(B259:M259)</f>
        <v>1</v>
      </c>
      <c r="O259" s="148" t="n">
        <f aca="false">SUM(B259:D259)</f>
        <v>1</v>
      </c>
      <c r="P259" s="148" t="n">
        <f aca="false">SUM(E259:G259)</f>
        <v>0</v>
      </c>
      <c r="Q259" s="148" t="n">
        <f aca="false">SUM(H259:J259)</f>
        <v>0</v>
      </c>
      <c r="R259" s="148" t="n">
        <f aca="false">SUM(K259:M259)</f>
        <v>0</v>
      </c>
      <c r="S259" s="148" t="n">
        <f aca="false">SUM(O259:R259)</f>
        <v>1</v>
      </c>
      <c r="T259" s="56" t="n">
        <v>0</v>
      </c>
      <c r="U259" s="56" t="n">
        <v>0</v>
      </c>
      <c r="W259" s="108"/>
      <c r="Y259" s="108"/>
      <c r="AA259" s="108"/>
    </row>
    <row r="260" customFormat="false" ht="12.75" hidden="false" customHeight="false" outlineLevel="0" collapsed="false">
      <c r="A260" s="95" t="s">
        <v>22</v>
      </c>
      <c r="B260" s="99" t="n">
        <v>44</v>
      </c>
      <c r="C260" s="99" t="n">
        <v>91</v>
      </c>
      <c r="D260" s="99" t="n">
        <v>8.7</v>
      </c>
      <c r="E260" s="99" t="n">
        <v>9.7</v>
      </c>
      <c r="F260" s="99" t="n">
        <v>10.2</v>
      </c>
      <c r="G260" s="99" t="n">
        <v>21.3</v>
      </c>
      <c r="H260" s="99" t="n">
        <v>155.2</v>
      </c>
      <c r="I260" s="99" t="n">
        <v>89.8</v>
      </c>
      <c r="J260" s="99" t="n">
        <v>0</v>
      </c>
      <c r="K260" s="99" t="n">
        <f aca="false">Detail!W378/1000</f>
        <v>39.99</v>
      </c>
      <c r="L260" s="99" t="n">
        <f aca="false">Detail!X378/1000</f>
        <v>38.7</v>
      </c>
      <c r="M260" s="99" t="n">
        <f aca="false">Detail!Y378/1000</f>
        <v>10.881</v>
      </c>
      <c r="N260" s="100" t="n">
        <f aca="false">SUM(B260:M260)</f>
        <v>519.471</v>
      </c>
      <c r="O260" s="148" t="n">
        <f aca="false">SUM(B260:D260)</f>
        <v>143.7</v>
      </c>
      <c r="P260" s="148" t="n">
        <f aca="false">SUM(E260:G260)</f>
        <v>41.2</v>
      </c>
      <c r="Q260" s="148" t="n">
        <f aca="false">SUM(H260:J260)</f>
        <v>245</v>
      </c>
      <c r="R260" s="148" t="n">
        <f aca="false">SUM(K260:M260)</f>
        <v>89.571</v>
      </c>
      <c r="S260" s="148" t="n">
        <f aca="false">SUM(O260:R260)</f>
        <v>519.471</v>
      </c>
      <c r="T260" s="100" t="n">
        <v>193.92698</v>
      </c>
      <c r="U260" s="100" t="n">
        <v>193.92698</v>
      </c>
      <c r="X260" s="108"/>
      <c r="Z260" s="108"/>
      <c r="AB260" s="108"/>
    </row>
    <row r="261" customFormat="false" ht="12.75" hidden="false" customHeight="false" outlineLevel="0" collapsed="false">
      <c r="A261" s="92" t="s">
        <v>50</v>
      </c>
      <c r="B261" s="20" t="n">
        <f aca="false">SUM(B257:B260)</f>
        <v>480</v>
      </c>
      <c r="C261" s="20" t="n">
        <f aca="false">SUM(C257:C260)</f>
        <v>410</v>
      </c>
      <c r="D261" s="20" t="n">
        <f aca="false">SUM(D257:D260)</f>
        <v>404.7</v>
      </c>
      <c r="E261" s="20" t="n">
        <f aca="false">SUM(E257:E260)</f>
        <v>391.2</v>
      </c>
      <c r="F261" s="20" t="n">
        <f aca="false">SUM(F257:F260)</f>
        <v>405.4</v>
      </c>
      <c r="G261" s="20" t="n">
        <f aca="false">SUM(G257:G260)</f>
        <v>404.5</v>
      </c>
      <c r="H261" s="20" t="n">
        <f aca="false">SUM(H257:H260)</f>
        <v>573.1</v>
      </c>
      <c r="I261" s="20" t="n">
        <f aca="false">SUM(I257:I260)</f>
        <v>489.2</v>
      </c>
      <c r="J261" s="20" t="n">
        <f aca="false">SUM(J257:J260)</f>
        <v>429.2</v>
      </c>
      <c r="K261" s="20" t="n">
        <f aca="false">SUM(K257:K260)</f>
        <v>436.015</v>
      </c>
      <c r="L261" s="20" t="n">
        <f aca="false">SUM(L257:L260)</f>
        <v>439.65</v>
      </c>
      <c r="M261" s="20" t="n">
        <f aca="false">SUM(M257:M260)</f>
        <v>425.196</v>
      </c>
      <c r="N261" s="20" t="n">
        <f aca="false">SUM(N257:N260)</f>
        <v>5288.161</v>
      </c>
      <c r="O261" s="170" t="n">
        <f aca="false">SUM(O257:O260)</f>
        <v>1294.7</v>
      </c>
      <c r="P261" s="170" t="n">
        <f aca="false">SUM(P257:P260)</f>
        <v>1201.1</v>
      </c>
      <c r="Q261" s="170" t="n">
        <f aca="false">SUM(Q257:Q260)</f>
        <v>1491.5</v>
      </c>
      <c r="R261" s="170" t="n">
        <f aca="false">SUM(R257:R260)</f>
        <v>1300.861</v>
      </c>
      <c r="S261" s="170" t="n">
        <f aca="false">SUM(S257:S260)</f>
        <v>5288.161</v>
      </c>
      <c r="T261" s="20" t="n">
        <f aca="false">SUM(T257:T260)</f>
        <v>5155.59198</v>
      </c>
      <c r="U261" s="20" t="n">
        <f aca="false">SUM(U257:U260)</f>
        <v>5155.59198</v>
      </c>
      <c r="X261" s="108"/>
      <c r="Z261" s="108"/>
      <c r="AB261" s="108"/>
    </row>
    <row r="262" customFormat="false" ht="12.75" hidden="false" customHeight="false" outlineLevel="0" collapsed="false">
      <c r="A262" s="95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4"/>
      <c r="Q262" s="164"/>
      <c r="R262" s="164"/>
      <c r="S262" s="164"/>
      <c r="T262" s="162"/>
      <c r="U262" s="162"/>
    </row>
    <row r="263" customFormat="false" ht="12.75" hidden="false" customHeight="false" outlineLevel="0" collapsed="false">
      <c r="A263" s="92" t="s">
        <v>51</v>
      </c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3"/>
      <c r="O263" s="163"/>
      <c r="P263" s="148"/>
      <c r="Q263" s="147"/>
      <c r="R263" s="147"/>
      <c r="S263" s="148"/>
      <c r="T263" s="163"/>
      <c r="U263" s="163"/>
    </row>
    <row r="264" customFormat="false" ht="12.75" hidden="false" customHeight="false" outlineLevel="0" collapsed="false">
      <c r="A264" s="95" t="s">
        <v>14</v>
      </c>
      <c r="B264" s="96" t="n">
        <v>320</v>
      </c>
      <c r="C264" s="96" t="n">
        <v>325</v>
      </c>
      <c r="D264" s="96" t="n">
        <v>378.8</v>
      </c>
      <c r="E264" s="96" t="n">
        <v>498.7</v>
      </c>
      <c r="F264" s="96" t="n">
        <v>508.4</v>
      </c>
      <c r="G264" s="96" t="n">
        <v>431.5</v>
      </c>
      <c r="H264" s="96" t="n">
        <v>418.6</v>
      </c>
      <c r="I264" s="96" t="n">
        <v>490.6</v>
      </c>
      <c r="J264" s="96" t="n">
        <v>345.4</v>
      </c>
      <c r="K264" s="96" t="n">
        <f aca="false">Detail!W421/1000</f>
        <v>287.77642705</v>
      </c>
      <c r="L264" s="96" t="n">
        <f aca="false">Detail!X421/1000</f>
        <v>269.3298225</v>
      </c>
      <c r="M264" s="96" t="n">
        <f aca="false">Detail!Y421/1000</f>
        <v>270.81134845</v>
      </c>
      <c r="N264" s="56" t="n">
        <f aca="false">SUM(B264:M264)</f>
        <v>4544.917598</v>
      </c>
      <c r="O264" s="148" t="n">
        <f aca="false">SUM(B264:D264)</f>
        <v>1023.8</v>
      </c>
      <c r="P264" s="148" t="n">
        <f aca="false">SUM(E264:G264)</f>
        <v>1438.6</v>
      </c>
      <c r="Q264" s="148" t="n">
        <f aca="false">SUM(H264:J264)</f>
        <v>1254.6</v>
      </c>
      <c r="R264" s="148" t="n">
        <f aca="false">SUM(K264:M264)</f>
        <v>827.917598</v>
      </c>
      <c r="S264" s="148" t="n">
        <f aca="false">SUM(O264:R264)</f>
        <v>4544.917598</v>
      </c>
      <c r="T264" s="56" t="n">
        <v>2883.89406753</v>
      </c>
      <c r="U264" s="56" t="n">
        <v>2883.89406753</v>
      </c>
    </row>
    <row r="265" customFormat="false" ht="12.75" hidden="false" customHeight="false" outlineLevel="0" collapsed="false">
      <c r="A265" s="95" t="s">
        <v>18</v>
      </c>
      <c r="B265" s="96" t="n">
        <v>24</v>
      </c>
      <c r="C265" s="96" t="n">
        <v>22</v>
      </c>
      <c r="D265" s="96" t="n">
        <v>21.9</v>
      </c>
      <c r="E265" s="96" t="n">
        <v>24.8</v>
      </c>
      <c r="F265" s="96" t="n">
        <v>22.8</v>
      </c>
      <c r="G265" s="96" t="n">
        <v>24</v>
      </c>
      <c r="H265" s="96" t="n">
        <v>8.4</v>
      </c>
      <c r="I265" s="96" t="n">
        <v>9</v>
      </c>
      <c r="J265" s="96" t="n">
        <v>25.3</v>
      </c>
      <c r="K265" s="96" t="n">
        <f aca="false">Detail!W434/1000</f>
        <v>19.94507295</v>
      </c>
      <c r="L265" s="96" t="n">
        <f aca="false">Detail!X434/1000</f>
        <v>23.9651775</v>
      </c>
      <c r="M265" s="96" t="n">
        <f aca="false">Detail!Y434/1000</f>
        <v>32.26015155</v>
      </c>
      <c r="N265" s="56" t="n">
        <f aca="false">SUM(B265:M265)</f>
        <v>258.370402</v>
      </c>
      <c r="O265" s="148" t="n">
        <f aca="false">SUM(B265:D265)</f>
        <v>67.9</v>
      </c>
      <c r="P265" s="148" t="n">
        <f aca="false">SUM(E265:G265)</f>
        <v>71.6</v>
      </c>
      <c r="Q265" s="148" t="n">
        <f aca="false">SUM(H265:J265)</f>
        <v>42.7</v>
      </c>
      <c r="R265" s="148" t="n">
        <f aca="false">SUM(K265:M265)</f>
        <v>76.170402</v>
      </c>
      <c r="S265" s="148" t="n">
        <f aca="false">SUM(O265:R265)</f>
        <v>258.370402</v>
      </c>
      <c r="T265" s="56" t="n">
        <f aca="false">319.86443247-37.9</f>
        <v>281.96443247</v>
      </c>
      <c r="U265" s="56" t="n">
        <f aca="false">319.86443247-37.9</f>
        <v>281.96443247</v>
      </c>
      <c r="W265" s="108"/>
      <c r="Y265" s="108"/>
      <c r="AA265" s="108"/>
    </row>
    <row r="266" customFormat="false" ht="12.75" hidden="false" customHeight="false" outlineLevel="0" collapsed="false">
      <c r="A266" s="95" t="s">
        <v>20</v>
      </c>
      <c r="B266" s="96" t="n">
        <v>0</v>
      </c>
      <c r="C266" s="149" t="n">
        <v>0</v>
      </c>
      <c r="D266" s="96" t="n">
        <v>0</v>
      </c>
      <c r="E266" s="96" t="n">
        <v>0</v>
      </c>
      <c r="F266" s="96" t="n">
        <v>0</v>
      </c>
      <c r="G266" s="96" t="n">
        <v>0</v>
      </c>
      <c r="H266" s="96" t="n">
        <v>0</v>
      </c>
      <c r="I266" s="96" t="n">
        <v>0</v>
      </c>
      <c r="J266" s="96" t="n">
        <v>0</v>
      </c>
      <c r="K266" s="96" t="n">
        <v>0</v>
      </c>
      <c r="L266" s="96" t="n">
        <v>0</v>
      </c>
      <c r="M266" s="96" t="n">
        <v>0</v>
      </c>
      <c r="N266" s="56" t="n">
        <f aca="false">SUM(B266:M266)</f>
        <v>0</v>
      </c>
      <c r="O266" s="148" t="n">
        <f aca="false">SUM(B266:D266)</f>
        <v>0</v>
      </c>
      <c r="P266" s="148" t="n">
        <f aca="false">SUM(E266:G266)</f>
        <v>0</v>
      </c>
      <c r="Q266" s="148" t="n">
        <f aca="false">SUM(H266:J266)</f>
        <v>0</v>
      </c>
      <c r="R266" s="148" t="n">
        <f aca="false">SUM(K266:M266)</f>
        <v>0</v>
      </c>
      <c r="S266" s="148" t="n">
        <f aca="false">SUM(O266:R266)</f>
        <v>0</v>
      </c>
      <c r="T266" s="56" t="n">
        <v>0</v>
      </c>
      <c r="U266" s="56" t="n">
        <v>0</v>
      </c>
      <c r="W266" s="108"/>
      <c r="Y266" s="108"/>
      <c r="AA266" s="108"/>
    </row>
    <row r="267" customFormat="false" ht="12.75" hidden="false" customHeight="false" outlineLevel="0" collapsed="false">
      <c r="A267" s="95" t="s">
        <v>22</v>
      </c>
      <c r="B267" s="99" t="n">
        <v>121</v>
      </c>
      <c r="C267" s="99" t="n">
        <v>109</v>
      </c>
      <c r="D267" s="99" t="n">
        <v>140.8</v>
      </c>
      <c r="E267" s="99" t="n">
        <v>177</v>
      </c>
      <c r="F267" s="99" t="n">
        <v>314.9</v>
      </c>
      <c r="G267" s="99" t="n">
        <v>187.9</v>
      </c>
      <c r="H267" s="99" t="n">
        <v>1.5</v>
      </c>
      <c r="I267" s="99" t="n">
        <v>0.6</v>
      </c>
      <c r="J267" s="99" t="n">
        <v>12.2</v>
      </c>
      <c r="K267" s="99" t="n">
        <f aca="false">Detail!W438/1000</f>
        <v>12.1706</v>
      </c>
      <c r="L267" s="99" t="n">
        <f aca="false">Detail!X438/1000</f>
        <v>11.778</v>
      </c>
      <c r="M267" s="99" t="n">
        <f aca="false">Detail!Y438/1000</f>
        <v>47.79301</v>
      </c>
      <c r="N267" s="100" t="n">
        <f aca="false">SUM(B267:M267)</f>
        <v>1136.64161</v>
      </c>
      <c r="O267" s="148" t="n">
        <f aca="false">SUM(B267:D267)</f>
        <v>370.8</v>
      </c>
      <c r="P267" s="148" t="n">
        <f aca="false">SUM(E267:G267)</f>
        <v>679.8</v>
      </c>
      <c r="Q267" s="148" t="n">
        <f aca="false">SUM(H267:J267)</f>
        <v>14.3</v>
      </c>
      <c r="R267" s="148" t="n">
        <f aca="false">SUM(K267:M267)</f>
        <v>71.74161</v>
      </c>
      <c r="S267" s="148" t="n">
        <f aca="false">SUM(O267:R267)</f>
        <v>1136.64161</v>
      </c>
      <c r="T267" s="100" t="n">
        <v>541.21141</v>
      </c>
      <c r="U267" s="100" t="n">
        <v>541.21141</v>
      </c>
      <c r="X267" s="108"/>
      <c r="Z267" s="108"/>
      <c r="AB267" s="108"/>
    </row>
    <row r="268" customFormat="false" ht="12.75" hidden="false" customHeight="false" outlineLevel="0" collapsed="false">
      <c r="A268" s="92" t="s">
        <v>52</v>
      </c>
      <c r="B268" s="171" t="n">
        <f aca="false">SUM(B264:B267)</f>
        <v>465</v>
      </c>
      <c r="C268" s="171" t="n">
        <f aca="false">SUM(C264:C267)</f>
        <v>456</v>
      </c>
      <c r="D268" s="171" t="n">
        <f aca="false">SUM(D264:D267)</f>
        <v>541.5</v>
      </c>
      <c r="E268" s="171" t="n">
        <f aca="false">SUM(E264:E267)</f>
        <v>700.5</v>
      </c>
      <c r="F268" s="171" t="n">
        <f aca="false">SUM(F264:F267)</f>
        <v>846.1</v>
      </c>
      <c r="G268" s="171" t="n">
        <f aca="false">SUM(G264:G267)</f>
        <v>643.4</v>
      </c>
      <c r="H268" s="171" t="n">
        <f aca="false">SUM(H264:H267)</f>
        <v>428.5</v>
      </c>
      <c r="I268" s="171" t="n">
        <f aca="false">SUM(I264:I267)</f>
        <v>500.2</v>
      </c>
      <c r="J268" s="171" t="n">
        <f aca="false">SUM(J264:J267)</f>
        <v>382.9</v>
      </c>
      <c r="K268" s="171" t="n">
        <f aca="false">SUM(K264:K267)</f>
        <v>319.8921</v>
      </c>
      <c r="L268" s="171" t="n">
        <f aca="false">SUM(L264:L267)</f>
        <v>305.073</v>
      </c>
      <c r="M268" s="171" t="n">
        <f aca="false">SUM(M264:M267)</f>
        <v>350.86451</v>
      </c>
      <c r="N268" s="117" t="n">
        <f aca="false">SUM(N264:N267)</f>
        <v>5939.92961</v>
      </c>
      <c r="O268" s="117" t="n">
        <f aca="false">SUM(O264:O267)</f>
        <v>1462.5</v>
      </c>
      <c r="P268" s="117" t="n">
        <f aca="false">SUM(P264:P267)</f>
        <v>2190</v>
      </c>
      <c r="Q268" s="117" t="n">
        <f aca="false">SUM(Q264:Q267)</f>
        <v>1311.6</v>
      </c>
      <c r="R268" s="117" t="n">
        <f aca="false">SUM(R264:R267)</f>
        <v>975.82961</v>
      </c>
      <c r="S268" s="117" t="n">
        <f aca="false">SUM(S264:S267)</f>
        <v>5939.92961</v>
      </c>
      <c r="T268" s="117" t="n">
        <f aca="false">SUM(T264:T267)</f>
        <v>3707.06991</v>
      </c>
      <c r="U268" s="117" t="n">
        <f aca="false">SUM(U264:U267)</f>
        <v>3707.06991</v>
      </c>
    </row>
    <row r="269" customFormat="false" ht="12.75" hidden="false" customHeight="false" outlineLevel="0" collapsed="false">
      <c r="A269" s="110" t="s">
        <v>53</v>
      </c>
      <c r="B269" s="171" t="n">
        <f aca="false">+B257+B264</f>
        <v>747</v>
      </c>
      <c r="C269" s="171" t="n">
        <f aca="false">+C257+C264</f>
        <v>636</v>
      </c>
      <c r="D269" s="171" t="n">
        <f aca="false">+D257+D264</f>
        <v>766.6</v>
      </c>
      <c r="E269" s="171" t="n">
        <f aca="false">+E257+E264</f>
        <v>874.1</v>
      </c>
      <c r="F269" s="171" t="n">
        <f aca="false">+F257+F264</f>
        <v>896.5</v>
      </c>
      <c r="G269" s="171" t="n">
        <f aca="false">+G257+G264</f>
        <v>807.9</v>
      </c>
      <c r="H269" s="171" t="n">
        <f aca="false">+H257+H264</f>
        <v>812.6</v>
      </c>
      <c r="I269" s="171" t="n">
        <f aca="false">+I257+I264</f>
        <v>864</v>
      </c>
      <c r="J269" s="171" t="n">
        <f aca="false">+J257+J264</f>
        <v>766.8</v>
      </c>
      <c r="K269" s="171" t="n">
        <f aca="false">+K257+K264</f>
        <v>671.71420465</v>
      </c>
      <c r="L269" s="171" t="n">
        <f aca="false">+L257+L264</f>
        <v>658.8483585</v>
      </c>
      <c r="M269" s="171" t="n">
        <f aca="false">+M257+M264</f>
        <v>675.54042925</v>
      </c>
      <c r="N269" s="117" t="n">
        <f aca="false">+N257+N264</f>
        <v>9177.6029924</v>
      </c>
      <c r="O269" s="117" t="n">
        <f aca="false">+O257+O264</f>
        <v>2149.6</v>
      </c>
      <c r="P269" s="117" t="n">
        <f aca="false">+P257+P264</f>
        <v>2578.5</v>
      </c>
      <c r="Q269" s="117" t="n">
        <f aca="false">+Q257+Q264</f>
        <v>2443.4</v>
      </c>
      <c r="R269" s="117" t="n">
        <f aca="false">+R257+R264</f>
        <v>2006.1029924</v>
      </c>
      <c r="S269" s="117" t="n">
        <f aca="false">+S257+S264</f>
        <v>9177.6029924</v>
      </c>
      <c r="T269" s="117" t="n">
        <f aca="false">+T257+T264</f>
        <v>7709.32436893</v>
      </c>
      <c r="U269" s="117" t="n">
        <f aca="false">+U257+U264</f>
        <v>7709.32436893</v>
      </c>
    </row>
    <row r="270" customFormat="false" ht="12.75" hidden="false" customHeight="false" outlineLevel="0" collapsed="false">
      <c r="A270" s="110" t="s">
        <v>54</v>
      </c>
      <c r="B270" s="162" t="n">
        <f aca="false">+B261+B268-B269</f>
        <v>198</v>
      </c>
      <c r="C270" s="162" t="n">
        <f aca="false">+C261+C268-C269</f>
        <v>230</v>
      </c>
      <c r="D270" s="162" t="n">
        <f aca="false">+D261+D268-D269</f>
        <v>179.6</v>
      </c>
      <c r="E270" s="162" t="n">
        <f aca="false">+E261+E268-E269</f>
        <v>217.6</v>
      </c>
      <c r="F270" s="162" t="n">
        <f aca="false">+F261+F268-F269</f>
        <v>355</v>
      </c>
      <c r="G270" s="162" t="n">
        <f aca="false">+G261+G268-G269</f>
        <v>240</v>
      </c>
      <c r="H270" s="162" t="n">
        <f aca="false">+H261+H268-H269</f>
        <v>189</v>
      </c>
      <c r="I270" s="162" t="n">
        <f aca="false">+I261+I268-I269</f>
        <v>125.4</v>
      </c>
      <c r="J270" s="162" t="n">
        <f aca="false">+J261+J268-J269</f>
        <v>45.3</v>
      </c>
      <c r="K270" s="162" t="n">
        <f aca="false">+K261+K268-K269</f>
        <v>84.19289535</v>
      </c>
      <c r="L270" s="162" t="n">
        <f aca="false">+L261+L268-L269</f>
        <v>85.8746414999999</v>
      </c>
      <c r="M270" s="162" t="n">
        <f aca="false">+M261+M268-M269</f>
        <v>100.52008075</v>
      </c>
      <c r="N270" s="117" t="n">
        <f aca="false">+N261+N268-N269</f>
        <v>2050.4876176</v>
      </c>
      <c r="O270" s="117" t="n">
        <f aca="false">+O261+O268-O269</f>
        <v>607.6</v>
      </c>
      <c r="P270" s="117" t="n">
        <f aca="false">+P261+P268-P269</f>
        <v>812.6</v>
      </c>
      <c r="Q270" s="117" t="n">
        <f aca="false">+Q261+Q268-Q269</f>
        <v>359.7</v>
      </c>
      <c r="R270" s="117" t="n">
        <f aca="false">+R261+R268-R269</f>
        <v>270.5876176</v>
      </c>
      <c r="S270" s="117" t="n">
        <f aca="false">+S261+S268-S269</f>
        <v>2050.4876176</v>
      </c>
      <c r="T270" s="117" t="n">
        <f aca="false">+T261+T268-T269</f>
        <v>1153.33752107</v>
      </c>
      <c r="U270" s="117" t="n">
        <f aca="false">+U261+U268-U269</f>
        <v>1153.33752107</v>
      </c>
    </row>
    <row r="271" customFormat="false" ht="12.75" hidden="false" customHeight="false" outlineLevel="0" collapsed="false">
      <c r="A271" s="110" t="s">
        <v>55</v>
      </c>
      <c r="B271" s="159" t="n">
        <f aca="false">SUM(B269:B270)</f>
        <v>945</v>
      </c>
      <c r="C271" s="159" t="n">
        <f aca="false">SUM(C269:C270)</f>
        <v>866</v>
      </c>
      <c r="D271" s="159" t="n">
        <f aca="false">SUM(D269:D270)</f>
        <v>946.2</v>
      </c>
      <c r="E271" s="159" t="n">
        <f aca="false">SUM(E269:E270)</f>
        <v>1091.7</v>
      </c>
      <c r="F271" s="159" t="n">
        <f aca="false">SUM(F269:F270)</f>
        <v>1251.5</v>
      </c>
      <c r="G271" s="159" t="n">
        <f aca="false">SUM(G269:G270)</f>
        <v>1047.9</v>
      </c>
      <c r="H271" s="159" t="n">
        <f aca="false">SUM(H269:H270)</f>
        <v>1001.6</v>
      </c>
      <c r="I271" s="159" t="n">
        <f aca="false">SUM(I269:I270)</f>
        <v>989.4</v>
      </c>
      <c r="J271" s="159" t="n">
        <f aca="false">SUM(J269:J270)</f>
        <v>812.1</v>
      </c>
      <c r="K271" s="159" t="n">
        <f aca="false">SUM(K269:K270)</f>
        <v>755.9071</v>
      </c>
      <c r="L271" s="159" t="n">
        <f aca="false">SUM(L269:L270)</f>
        <v>744.723</v>
      </c>
      <c r="M271" s="159" t="n">
        <f aca="false">SUM(M269:M270)</f>
        <v>776.06051</v>
      </c>
      <c r="N271" s="117" t="n">
        <f aca="false">SUM(N269:N270)</f>
        <v>11228.09061</v>
      </c>
      <c r="O271" s="102" t="n">
        <f aca="false">SUM(O269:O270)</f>
        <v>2757.2</v>
      </c>
      <c r="P271" s="102" t="n">
        <f aca="false">SUM(P269:P270)</f>
        <v>3391.1</v>
      </c>
      <c r="Q271" s="102" t="n">
        <f aca="false">SUM(Q269:Q270)</f>
        <v>2803.1</v>
      </c>
      <c r="R271" s="102" t="n">
        <f aca="false">SUM(R269:R270)</f>
        <v>2276.69061</v>
      </c>
      <c r="S271" s="102" t="n">
        <f aca="false">SUM(S269:S270)</f>
        <v>11228.09061</v>
      </c>
      <c r="T271" s="117" t="n">
        <f aca="false">SUM(T269:T270)</f>
        <v>8862.66189</v>
      </c>
      <c r="U271" s="117" t="n">
        <f aca="false">SUM(U269:U270)</f>
        <v>8862.66189</v>
      </c>
      <c r="W271" s="172"/>
      <c r="X271" s="172"/>
      <c r="Y271" s="172"/>
      <c r="Z271" s="172"/>
      <c r="AA271" s="172"/>
      <c r="AB271" s="172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  <c r="AR271" s="152"/>
      <c r="AS271" s="152"/>
      <c r="AT271" s="152"/>
      <c r="AU271" s="152"/>
      <c r="AV271" s="152"/>
      <c r="AW271" s="152"/>
      <c r="AX271" s="152"/>
      <c r="AY271" s="152"/>
      <c r="AZ271" s="152"/>
      <c r="BA271" s="152"/>
      <c r="BB271" s="152"/>
      <c r="BC271" s="152"/>
      <c r="BD271" s="152"/>
      <c r="BE271" s="152"/>
      <c r="BF271" s="152"/>
      <c r="BG271" s="152"/>
      <c r="BH271" s="152"/>
      <c r="BI271" s="152"/>
      <c r="BJ271" s="152"/>
      <c r="BK271" s="152"/>
      <c r="BL271" s="152"/>
      <c r="BM271" s="152"/>
      <c r="BN271" s="152"/>
      <c r="BO271" s="152"/>
      <c r="BP271" s="152"/>
      <c r="BQ271" s="152"/>
      <c r="BR271" s="152"/>
      <c r="BS271" s="152"/>
      <c r="BT271" s="152"/>
      <c r="BU271" s="152"/>
      <c r="BV271" s="152"/>
      <c r="BW271" s="152"/>
      <c r="BX271" s="152"/>
      <c r="BY271" s="152"/>
      <c r="BZ271" s="152"/>
      <c r="CA271" s="152"/>
      <c r="CB271" s="152"/>
      <c r="CC271" s="152"/>
      <c r="CD271" s="152"/>
      <c r="CE271" s="152"/>
      <c r="CF271" s="152"/>
      <c r="CG271" s="152"/>
      <c r="CH271" s="152"/>
      <c r="CI271" s="152"/>
      <c r="CJ271" s="152"/>
      <c r="CK271" s="152"/>
      <c r="CL271" s="152"/>
      <c r="CM271" s="152"/>
      <c r="CN271" s="152"/>
      <c r="CO271" s="152"/>
      <c r="CP271" s="152"/>
      <c r="CQ271" s="152"/>
      <c r="CR271" s="152"/>
      <c r="CS271" s="152"/>
      <c r="CT271" s="152"/>
      <c r="CU271" s="152"/>
      <c r="CV271" s="152"/>
      <c r="CW271" s="152"/>
      <c r="CX271" s="152"/>
      <c r="CY271" s="152"/>
      <c r="CZ271" s="152"/>
      <c r="DA271" s="152"/>
      <c r="DB271" s="152"/>
      <c r="DC271" s="152"/>
      <c r="DD271" s="152"/>
      <c r="DE271" s="152"/>
      <c r="DF271" s="152"/>
      <c r="DG271" s="152"/>
      <c r="DH271" s="152"/>
      <c r="DI271" s="152"/>
      <c r="DJ271" s="152"/>
      <c r="DK271" s="152"/>
      <c r="DL271" s="152"/>
      <c r="DM271" s="152"/>
      <c r="DN271" s="152"/>
      <c r="DO271" s="152"/>
      <c r="DP271" s="152"/>
      <c r="DQ271" s="152"/>
      <c r="DR271" s="152"/>
      <c r="DS271" s="152"/>
      <c r="DT271" s="152"/>
      <c r="DU271" s="152"/>
      <c r="DV271" s="152"/>
      <c r="DW271" s="152"/>
      <c r="DX271" s="152"/>
      <c r="DY271" s="152"/>
      <c r="DZ271" s="152"/>
      <c r="EA271" s="152"/>
      <c r="EB271" s="152"/>
      <c r="EC271" s="152"/>
      <c r="ED271" s="152"/>
      <c r="EE271" s="152"/>
      <c r="EF271" s="152"/>
      <c r="EG271" s="152"/>
      <c r="EH271" s="152"/>
      <c r="EI271" s="152"/>
      <c r="EJ271" s="152"/>
      <c r="EK271" s="152"/>
      <c r="EL271" s="152"/>
      <c r="EM271" s="152"/>
      <c r="EN271" s="152"/>
      <c r="EO271" s="152"/>
      <c r="EP271" s="152"/>
      <c r="EQ271" s="152"/>
      <c r="ER271" s="152"/>
      <c r="ES271" s="152"/>
      <c r="ET271" s="152"/>
      <c r="EU271" s="152"/>
      <c r="EV271" s="152"/>
      <c r="EW271" s="152"/>
      <c r="EX271" s="152"/>
      <c r="EY271" s="152"/>
      <c r="EZ271" s="152"/>
      <c r="FA271" s="152"/>
      <c r="FB271" s="152"/>
      <c r="FC271" s="152"/>
      <c r="FD271" s="152"/>
      <c r="FE271" s="152"/>
      <c r="FF271" s="152"/>
      <c r="FG271" s="152"/>
      <c r="FH271" s="152"/>
      <c r="FI271" s="152"/>
      <c r="FJ271" s="152"/>
      <c r="FK271" s="152"/>
      <c r="FL271" s="152"/>
      <c r="FM271" s="152"/>
      <c r="FN271" s="152"/>
      <c r="FO271" s="152"/>
      <c r="FP271" s="152"/>
      <c r="FQ271" s="152"/>
      <c r="FR271" s="152"/>
      <c r="FS271" s="152"/>
      <c r="FT271" s="152"/>
      <c r="FU271" s="152"/>
      <c r="FV271" s="152"/>
      <c r="FW271" s="152"/>
      <c r="FX271" s="152"/>
      <c r="FY271" s="152"/>
      <c r="FZ271" s="152"/>
      <c r="GA271" s="152"/>
      <c r="GB271" s="152"/>
      <c r="GC271" s="152"/>
      <c r="GD271" s="152"/>
      <c r="GE271" s="152"/>
      <c r="GF271" s="152"/>
      <c r="GG271" s="152"/>
      <c r="GH271" s="152"/>
      <c r="GI271" s="152"/>
      <c r="GJ271" s="152"/>
      <c r="GK271" s="152"/>
      <c r="GL271" s="152"/>
      <c r="GM271" s="152"/>
      <c r="GN271" s="152"/>
      <c r="GO271" s="152"/>
      <c r="GP271" s="152"/>
      <c r="GQ271" s="152"/>
      <c r="GR271" s="152"/>
      <c r="GS271" s="152"/>
      <c r="GT271" s="152"/>
      <c r="GU271" s="152"/>
      <c r="GV271" s="152"/>
      <c r="GW271" s="152"/>
      <c r="GX271" s="152"/>
      <c r="GY271" s="152"/>
      <c r="GZ271" s="152"/>
      <c r="HA271" s="152"/>
      <c r="HB271" s="152"/>
      <c r="HC271" s="152"/>
      <c r="HD271" s="152"/>
      <c r="HE271" s="152"/>
      <c r="HF271" s="152"/>
      <c r="HG271" s="152"/>
      <c r="HH271" s="152"/>
      <c r="HI271" s="152"/>
      <c r="HJ271" s="152"/>
      <c r="HK271" s="152"/>
      <c r="HL271" s="152"/>
      <c r="HM271" s="152"/>
      <c r="HN271" s="152"/>
      <c r="HO271" s="152"/>
      <c r="HP271" s="152"/>
      <c r="HQ271" s="152"/>
      <c r="HR271" s="152"/>
      <c r="HS271" s="152"/>
      <c r="HT271" s="152"/>
      <c r="HU271" s="152"/>
      <c r="HV271" s="152"/>
      <c r="HW271" s="152"/>
      <c r="HX271" s="152"/>
      <c r="HY271" s="152"/>
      <c r="HZ271" s="152"/>
      <c r="IA271" s="152"/>
      <c r="IB271" s="152"/>
      <c r="IC271" s="152"/>
      <c r="ID271" s="152"/>
      <c r="IE271" s="152"/>
      <c r="IF271" s="152"/>
      <c r="IG271" s="152"/>
      <c r="IH271" s="152"/>
      <c r="II271" s="152"/>
      <c r="IJ271" s="152"/>
      <c r="IK271" s="152"/>
      <c r="IL271" s="152"/>
      <c r="IM271" s="152"/>
      <c r="IN271" s="152"/>
      <c r="IO271" s="152"/>
      <c r="IP271" s="152"/>
      <c r="IQ271" s="152"/>
      <c r="IR271" s="152"/>
      <c r="IS271" s="152"/>
      <c r="IT271" s="152"/>
      <c r="IU271" s="152"/>
      <c r="IV271" s="152"/>
      <c r="IW271" s="152"/>
    </row>
    <row r="272" customFormat="false" ht="12.75" hidden="false" customHeight="false" outlineLevel="0" collapsed="false">
      <c r="A272" s="113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3"/>
      <c r="O272" s="163"/>
      <c r="P272" s="173"/>
      <c r="Q272" s="173"/>
      <c r="R272" s="173"/>
      <c r="S272" s="173"/>
      <c r="T272" s="163"/>
      <c r="U272" s="163"/>
      <c r="W272" s="172"/>
      <c r="X272" s="172"/>
      <c r="Y272" s="172"/>
      <c r="Z272" s="172"/>
      <c r="AA272" s="172"/>
      <c r="AB272" s="17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  <c r="AR272" s="152"/>
      <c r="AS272" s="152"/>
      <c r="AT272" s="152"/>
      <c r="AU272" s="152"/>
      <c r="AV272" s="152"/>
      <c r="AW272" s="152"/>
      <c r="AX272" s="152"/>
      <c r="AY272" s="152"/>
      <c r="AZ272" s="152"/>
      <c r="BA272" s="152"/>
      <c r="BB272" s="152"/>
      <c r="BC272" s="152"/>
      <c r="BD272" s="152"/>
      <c r="BE272" s="152"/>
      <c r="BF272" s="152"/>
      <c r="BG272" s="152"/>
      <c r="BH272" s="152"/>
      <c r="BI272" s="152"/>
      <c r="BJ272" s="152"/>
      <c r="BK272" s="152"/>
      <c r="BL272" s="152"/>
      <c r="BM272" s="152"/>
      <c r="BN272" s="152"/>
      <c r="BO272" s="152"/>
      <c r="BP272" s="152"/>
      <c r="BQ272" s="152"/>
      <c r="BR272" s="152"/>
      <c r="BS272" s="152"/>
      <c r="BT272" s="152"/>
      <c r="BU272" s="152"/>
      <c r="BV272" s="152"/>
      <c r="BW272" s="152"/>
      <c r="BX272" s="152"/>
      <c r="BY272" s="152"/>
      <c r="BZ272" s="152"/>
      <c r="CA272" s="152"/>
      <c r="CB272" s="152"/>
      <c r="CC272" s="152"/>
      <c r="CD272" s="152"/>
      <c r="CE272" s="152"/>
      <c r="CF272" s="152"/>
      <c r="CG272" s="152"/>
      <c r="CH272" s="152"/>
      <c r="CI272" s="152"/>
      <c r="CJ272" s="152"/>
      <c r="CK272" s="152"/>
      <c r="CL272" s="152"/>
      <c r="CM272" s="152"/>
      <c r="CN272" s="152"/>
      <c r="CO272" s="152"/>
      <c r="CP272" s="152"/>
      <c r="CQ272" s="152"/>
      <c r="CR272" s="152"/>
      <c r="CS272" s="152"/>
      <c r="CT272" s="152"/>
      <c r="CU272" s="152"/>
      <c r="CV272" s="152"/>
      <c r="CW272" s="152"/>
      <c r="CX272" s="152"/>
      <c r="CY272" s="152"/>
      <c r="CZ272" s="152"/>
      <c r="DA272" s="152"/>
      <c r="DB272" s="152"/>
      <c r="DC272" s="152"/>
      <c r="DD272" s="152"/>
      <c r="DE272" s="152"/>
      <c r="DF272" s="152"/>
      <c r="DG272" s="152"/>
      <c r="DH272" s="152"/>
      <c r="DI272" s="152"/>
      <c r="DJ272" s="152"/>
      <c r="DK272" s="152"/>
      <c r="DL272" s="152"/>
      <c r="DM272" s="152"/>
      <c r="DN272" s="152"/>
      <c r="DO272" s="152"/>
      <c r="DP272" s="152"/>
      <c r="DQ272" s="152"/>
      <c r="DR272" s="152"/>
      <c r="DS272" s="152"/>
      <c r="DT272" s="152"/>
      <c r="DU272" s="152"/>
      <c r="DV272" s="152"/>
      <c r="DW272" s="152"/>
      <c r="DX272" s="152"/>
      <c r="DY272" s="152"/>
      <c r="DZ272" s="152"/>
      <c r="EA272" s="152"/>
      <c r="EB272" s="152"/>
      <c r="EC272" s="152"/>
      <c r="ED272" s="152"/>
      <c r="EE272" s="152"/>
      <c r="EF272" s="152"/>
      <c r="EG272" s="152"/>
      <c r="EH272" s="152"/>
      <c r="EI272" s="152"/>
      <c r="EJ272" s="152"/>
      <c r="EK272" s="152"/>
      <c r="EL272" s="152"/>
      <c r="EM272" s="152"/>
      <c r="EN272" s="152"/>
      <c r="EO272" s="152"/>
      <c r="EP272" s="152"/>
      <c r="EQ272" s="152"/>
      <c r="ER272" s="152"/>
      <c r="ES272" s="152"/>
      <c r="ET272" s="152"/>
      <c r="EU272" s="152"/>
      <c r="EV272" s="152"/>
      <c r="EW272" s="152"/>
      <c r="EX272" s="152"/>
      <c r="EY272" s="152"/>
      <c r="EZ272" s="152"/>
      <c r="FA272" s="152"/>
      <c r="FB272" s="152"/>
      <c r="FC272" s="152"/>
      <c r="FD272" s="152"/>
      <c r="FE272" s="152"/>
      <c r="FF272" s="152"/>
      <c r="FG272" s="152"/>
      <c r="FH272" s="152"/>
      <c r="FI272" s="152"/>
      <c r="FJ272" s="152"/>
      <c r="FK272" s="152"/>
      <c r="FL272" s="152"/>
      <c r="FM272" s="152"/>
      <c r="FN272" s="152"/>
      <c r="FO272" s="152"/>
      <c r="FP272" s="152"/>
      <c r="FQ272" s="152"/>
      <c r="FR272" s="152"/>
      <c r="FS272" s="152"/>
      <c r="FT272" s="152"/>
      <c r="FU272" s="152"/>
      <c r="FV272" s="152"/>
      <c r="FW272" s="152"/>
      <c r="FX272" s="152"/>
      <c r="FY272" s="152"/>
      <c r="FZ272" s="152"/>
      <c r="GA272" s="152"/>
      <c r="GB272" s="152"/>
      <c r="GC272" s="152"/>
      <c r="GD272" s="152"/>
      <c r="GE272" s="152"/>
      <c r="GF272" s="152"/>
      <c r="GG272" s="152"/>
      <c r="GH272" s="152"/>
      <c r="GI272" s="152"/>
      <c r="GJ272" s="152"/>
      <c r="GK272" s="152"/>
      <c r="GL272" s="152"/>
      <c r="GM272" s="152"/>
      <c r="GN272" s="152"/>
      <c r="GO272" s="152"/>
      <c r="GP272" s="152"/>
      <c r="GQ272" s="152"/>
      <c r="GR272" s="152"/>
      <c r="GS272" s="152"/>
      <c r="GT272" s="152"/>
      <c r="GU272" s="152"/>
      <c r="GV272" s="152"/>
      <c r="GW272" s="152"/>
      <c r="GX272" s="152"/>
      <c r="GY272" s="152"/>
      <c r="GZ272" s="152"/>
      <c r="HA272" s="152"/>
      <c r="HB272" s="152"/>
      <c r="HC272" s="152"/>
      <c r="HD272" s="152"/>
      <c r="HE272" s="152"/>
      <c r="HF272" s="152"/>
      <c r="HG272" s="152"/>
      <c r="HH272" s="152"/>
      <c r="HI272" s="152"/>
      <c r="HJ272" s="152"/>
      <c r="HK272" s="152"/>
      <c r="HL272" s="152"/>
      <c r="HM272" s="152"/>
      <c r="HN272" s="152"/>
      <c r="HO272" s="152"/>
      <c r="HP272" s="152"/>
      <c r="HQ272" s="152"/>
      <c r="HR272" s="152"/>
      <c r="HS272" s="152"/>
      <c r="HT272" s="152"/>
      <c r="HU272" s="152"/>
      <c r="HV272" s="152"/>
      <c r="HW272" s="152"/>
      <c r="HX272" s="152"/>
      <c r="HY272" s="152"/>
      <c r="HZ272" s="152"/>
      <c r="IA272" s="152"/>
      <c r="IB272" s="152"/>
      <c r="IC272" s="152"/>
      <c r="ID272" s="152"/>
      <c r="IE272" s="152"/>
      <c r="IF272" s="152"/>
      <c r="IG272" s="152"/>
      <c r="IH272" s="152"/>
      <c r="II272" s="152"/>
      <c r="IJ272" s="152"/>
      <c r="IK272" s="152"/>
      <c r="IL272" s="152"/>
      <c r="IM272" s="152"/>
      <c r="IN272" s="152"/>
      <c r="IO272" s="152"/>
      <c r="IP272" s="152"/>
      <c r="IQ272" s="152"/>
      <c r="IR272" s="152"/>
      <c r="IS272" s="152"/>
      <c r="IT272" s="152"/>
      <c r="IU272" s="152"/>
      <c r="IV272" s="152"/>
      <c r="IW272" s="152"/>
    </row>
    <row r="273" customFormat="false" ht="15.75" hidden="false" customHeight="false" outlineLevel="0" collapsed="false">
      <c r="A273" s="91" t="s">
        <v>56</v>
      </c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73"/>
      <c r="Q273" s="173"/>
      <c r="R273" s="173"/>
      <c r="S273" s="173"/>
      <c r="T273" s="162"/>
      <c r="U273" s="162"/>
      <c r="W273" s="172"/>
      <c r="X273" s="172"/>
      <c r="Y273" s="172"/>
      <c r="Z273" s="172"/>
      <c r="AA273" s="172"/>
      <c r="AB273" s="172"/>
      <c r="AC273" s="152"/>
      <c r="AD273" s="152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52"/>
      <c r="AU273" s="152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  <c r="BI273" s="152"/>
      <c r="BJ273" s="152"/>
      <c r="BK273" s="152"/>
      <c r="BL273" s="152"/>
      <c r="BM273" s="152"/>
      <c r="BN273" s="152"/>
      <c r="BO273" s="152"/>
      <c r="BP273" s="152"/>
      <c r="BQ273" s="152"/>
      <c r="BR273" s="152"/>
      <c r="BS273" s="152"/>
      <c r="BT273" s="152"/>
      <c r="BU273" s="152"/>
      <c r="BV273" s="152"/>
      <c r="BW273" s="152"/>
      <c r="BX273" s="152"/>
      <c r="BY273" s="152"/>
      <c r="BZ273" s="152"/>
      <c r="CA273" s="152"/>
      <c r="CB273" s="152"/>
      <c r="CC273" s="152"/>
      <c r="CD273" s="152"/>
      <c r="CE273" s="152"/>
      <c r="CF273" s="152"/>
      <c r="CG273" s="152"/>
      <c r="CH273" s="152"/>
      <c r="CI273" s="152"/>
      <c r="CJ273" s="152"/>
      <c r="CK273" s="152"/>
      <c r="CL273" s="152"/>
      <c r="CM273" s="152"/>
      <c r="CN273" s="152"/>
      <c r="CO273" s="152"/>
      <c r="CP273" s="152"/>
      <c r="CQ273" s="152"/>
      <c r="CR273" s="152"/>
      <c r="CS273" s="152"/>
      <c r="CT273" s="152"/>
      <c r="CU273" s="152"/>
      <c r="CV273" s="152"/>
      <c r="CW273" s="152"/>
      <c r="CX273" s="152"/>
      <c r="CY273" s="152"/>
      <c r="CZ273" s="152"/>
      <c r="DA273" s="152"/>
      <c r="DB273" s="152"/>
      <c r="DC273" s="152"/>
      <c r="DD273" s="152"/>
      <c r="DE273" s="152"/>
      <c r="DF273" s="152"/>
      <c r="DG273" s="152"/>
      <c r="DH273" s="152"/>
      <c r="DI273" s="152"/>
      <c r="DJ273" s="152"/>
      <c r="DK273" s="152"/>
      <c r="DL273" s="152"/>
      <c r="DM273" s="152"/>
      <c r="DN273" s="152"/>
      <c r="DO273" s="152"/>
      <c r="DP273" s="152"/>
      <c r="DQ273" s="152"/>
      <c r="DR273" s="152"/>
      <c r="DS273" s="152"/>
      <c r="DT273" s="152"/>
      <c r="DU273" s="152"/>
      <c r="DV273" s="152"/>
      <c r="DW273" s="152"/>
      <c r="DX273" s="152"/>
      <c r="DY273" s="152"/>
      <c r="DZ273" s="152"/>
      <c r="EA273" s="152"/>
      <c r="EB273" s="152"/>
      <c r="EC273" s="152"/>
      <c r="ED273" s="152"/>
      <c r="EE273" s="152"/>
      <c r="EF273" s="152"/>
      <c r="EG273" s="152"/>
      <c r="EH273" s="152"/>
      <c r="EI273" s="152"/>
      <c r="EJ273" s="152"/>
      <c r="EK273" s="152"/>
      <c r="EL273" s="152"/>
      <c r="EM273" s="152"/>
      <c r="EN273" s="152"/>
      <c r="EO273" s="152"/>
      <c r="EP273" s="152"/>
      <c r="EQ273" s="152"/>
      <c r="ER273" s="152"/>
      <c r="ES273" s="152"/>
      <c r="ET273" s="152"/>
      <c r="EU273" s="152"/>
      <c r="EV273" s="152"/>
      <c r="EW273" s="152"/>
      <c r="EX273" s="152"/>
      <c r="EY273" s="152"/>
      <c r="EZ273" s="152"/>
      <c r="FA273" s="152"/>
      <c r="FB273" s="152"/>
      <c r="FC273" s="152"/>
      <c r="FD273" s="152"/>
      <c r="FE273" s="152"/>
      <c r="FF273" s="152"/>
      <c r="FG273" s="152"/>
      <c r="FH273" s="152"/>
      <c r="FI273" s="152"/>
      <c r="FJ273" s="152"/>
      <c r="FK273" s="152"/>
      <c r="FL273" s="152"/>
      <c r="FM273" s="152"/>
      <c r="FN273" s="152"/>
      <c r="FO273" s="152"/>
      <c r="FP273" s="152"/>
      <c r="FQ273" s="152"/>
      <c r="FR273" s="152"/>
      <c r="FS273" s="152"/>
      <c r="FT273" s="152"/>
      <c r="FU273" s="152"/>
      <c r="FV273" s="152"/>
      <c r="FW273" s="152"/>
      <c r="FX273" s="152"/>
      <c r="FY273" s="152"/>
      <c r="FZ273" s="152"/>
      <c r="GA273" s="152"/>
      <c r="GB273" s="152"/>
      <c r="GC273" s="152"/>
      <c r="GD273" s="152"/>
      <c r="GE273" s="152"/>
      <c r="GF273" s="152"/>
      <c r="GG273" s="152"/>
      <c r="GH273" s="152"/>
      <c r="GI273" s="152"/>
      <c r="GJ273" s="152"/>
      <c r="GK273" s="152"/>
      <c r="GL273" s="152"/>
      <c r="GM273" s="152"/>
      <c r="GN273" s="152"/>
      <c r="GO273" s="152"/>
      <c r="GP273" s="152"/>
      <c r="GQ273" s="152"/>
      <c r="GR273" s="152"/>
      <c r="GS273" s="152"/>
      <c r="GT273" s="152"/>
      <c r="GU273" s="152"/>
      <c r="GV273" s="152"/>
      <c r="GW273" s="152"/>
      <c r="GX273" s="152"/>
      <c r="GY273" s="152"/>
      <c r="GZ273" s="152"/>
      <c r="HA273" s="152"/>
      <c r="HB273" s="152"/>
      <c r="HC273" s="152"/>
      <c r="HD273" s="152"/>
      <c r="HE273" s="152"/>
      <c r="HF273" s="152"/>
      <c r="HG273" s="152"/>
      <c r="HH273" s="152"/>
      <c r="HI273" s="152"/>
      <c r="HJ273" s="152"/>
      <c r="HK273" s="152"/>
      <c r="HL273" s="152"/>
      <c r="HM273" s="152"/>
      <c r="HN273" s="152"/>
      <c r="HO273" s="152"/>
      <c r="HP273" s="152"/>
      <c r="HQ273" s="152"/>
      <c r="HR273" s="152"/>
      <c r="HS273" s="152"/>
      <c r="HT273" s="152"/>
      <c r="HU273" s="152"/>
      <c r="HV273" s="152"/>
      <c r="HW273" s="152"/>
      <c r="HX273" s="152"/>
      <c r="HY273" s="152"/>
      <c r="HZ273" s="152"/>
      <c r="IA273" s="152"/>
      <c r="IB273" s="152"/>
      <c r="IC273" s="152"/>
      <c r="ID273" s="152"/>
      <c r="IE273" s="152"/>
      <c r="IF273" s="152"/>
      <c r="IG273" s="152"/>
      <c r="IH273" s="152"/>
      <c r="II273" s="152"/>
      <c r="IJ273" s="152"/>
      <c r="IK273" s="152"/>
      <c r="IL273" s="152"/>
      <c r="IM273" s="152"/>
      <c r="IN273" s="152"/>
      <c r="IO273" s="152"/>
      <c r="IP273" s="152"/>
      <c r="IQ273" s="152"/>
      <c r="IR273" s="152"/>
      <c r="IS273" s="152"/>
      <c r="IT273" s="152"/>
      <c r="IU273" s="152"/>
      <c r="IV273" s="152"/>
      <c r="IW273" s="152"/>
    </row>
    <row r="274" customFormat="false" ht="12.75" hidden="false" customHeight="false" outlineLevel="0" collapsed="false">
      <c r="A274" s="92" t="s">
        <v>57</v>
      </c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3"/>
      <c r="O274" s="163"/>
      <c r="P274" s="148"/>
      <c r="Q274" s="147"/>
      <c r="R274" s="147" t="n">
        <f aca="false">N274</f>
        <v>0</v>
      </c>
      <c r="S274" s="148"/>
      <c r="T274" s="163"/>
      <c r="U274" s="163"/>
    </row>
    <row r="275" customFormat="false" ht="12.75" hidden="false" customHeight="false" outlineLevel="0" collapsed="false">
      <c r="A275" s="95" t="s">
        <v>14</v>
      </c>
      <c r="B275" s="96" t="n">
        <v>1516</v>
      </c>
      <c r="C275" s="96" t="n">
        <v>1370</v>
      </c>
      <c r="D275" s="96" t="n">
        <f aca="false">Detail!P312/1000</f>
        <v>1516.458</v>
      </c>
      <c r="E275" s="96" t="n">
        <f aca="false">1467.6+0.1</f>
        <v>1467.7</v>
      </c>
      <c r="F275" s="96" t="n">
        <f aca="false">Detail!R312/1000</f>
        <v>1516.458</v>
      </c>
      <c r="G275" s="96" t="n">
        <f aca="false">Detail!S312/1000</f>
        <v>1467.54</v>
      </c>
      <c r="H275" s="96" t="n">
        <v>1514</v>
      </c>
      <c r="I275" s="96" t="n">
        <v>1486.7</v>
      </c>
      <c r="J275" s="96" t="n">
        <f aca="false">Detail!V312/1000</f>
        <v>1467.54</v>
      </c>
      <c r="K275" s="96" t="n">
        <f aca="false">Detail!W312/1000</f>
        <v>1516.458</v>
      </c>
      <c r="L275" s="96" t="n">
        <f aca="false">Detail!X312/1000</f>
        <v>1498.23</v>
      </c>
      <c r="M275" s="96" t="n">
        <f aca="false">Detail!Y312/1000</f>
        <v>1548.171</v>
      </c>
      <c r="N275" s="56" t="n">
        <f aca="false">SUM(B275:M275)</f>
        <v>17885.255</v>
      </c>
      <c r="O275" s="148" t="n">
        <f aca="false">SUM(B275:D275)</f>
        <v>4402.458</v>
      </c>
      <c r="P275" s="148" t="n">
        <f aca="false">SUM(E275:G275)</f>
        <v>4451.698</v>
      </c>
      <c r="Q275" s="148" t="n">
        <f aca="false">SUM(H275:J275)</f>
        <v>4468.24</v>
      </c>
      <c r="R275" s="148" t="n">
        <f aca="false">SUM(K275:M275)</f>
        <v>4562.859</v>
      </c>
      <c r="S275" s="148" t="n">
        <f aca="false">SUM(O275:R275)</f>
        <v>17885.255</v>
      </c>
      <c r="T275" s="56" t="n">
        <v>17917.473</v>
      </c>
      <c r="U275" s="56" t="n">
        <v>17917.473</v>
      </c>
    </row>
    <row r="276" customFormat="false" ht="12.75" hidden="false" customHeight="false" outlineLevel="0" collapsed="false">
      <c r="A276" s="95" t="s">
        <v>18</v>
      </c>
      <c r="B276" s="96" t="n">
        <v>15</v>
      </c>
      <c r="C276" s="96" t="n">
        <v>14</v>
      </c>
      <c r="D276" s="96" t="n">
        <f aca="false">15+0.2</f>
        <v>15.2</v>
      </c>
      <c r="E276" s="96" t="n">
        <v>13.7</v>
      </c>
      <c r="F276" s="96" t="n">
        <v>12.4</v>
      </c>
      <c r="G276" s="96" t="n">
        <v>15.5</v>
      </c>
      <c r="H276" s="96" t="n">
        <v>12.4</v>
      </c>
      <c r="I276" s="96" t="n">
        <v>9.7</v>
      </c>
      <c r="J276" s="96" t="n">
        <v>14.7</v>
      </c>
      <c r="K276" s="96" t="n">
        <f aca="false">Detail!W325/1000</f>
        <v>14.5086975</v>
      </c>
      <c r="L276" s="96" t="n">
        <f aca="false">Detail!X325/1000</f>
        <v>14.009985</v>
      </c>
      <c r="M276" s="96" t="n">
        <f aca="false">Detail!Y325/1000</f>
        <v>14.6038365</v>
      </c>
      <c r="N276" s="56" t="n">
        <f aca="false">SUM(B276:M276)</f>
        <v>165.722519</v>
      </c>
      <c r="O276" s="148" t="n">
        <f aca="false">SUM(B276:D276)</f>
        <v>44.2</v>
      </c>
      <c r="P276" s="148" t="n">
        <f aca="false">SUM(E276:G276)</f>
        <v>41.6</v>
      </c>
      <c r="Q276" s="148" t="n">
        <f aca="false">SUM(H276:J276)</f>
        <v>36.8</v>
      </c>
      <c r="R276" s="148" t="n">
        <f aca="false">SUM(K276:M276)</f>
        <v>43.122519</v>
      </c>
      <c r="S276" s="148" t="n">
        <f aca="false">SUM(O276:R276)</f>
        <v>165.722519</v>
      </c>
      <c r="T276" s="56" t="n">
        <v>174.624054</v>
      </c>
      <c r="U276" s="56" t="n">
        <v>174.624054</v>
      </c>
      <c r="W276" s="108"/>
      <c r="Y276" s="174"/>
      <c r="AA276" s="174"/>
    </row>
    <row r="277" customFormat="false" ht="12.75" hidden="false" customHeight="false" outlineLevel="0" collapsed="false">
      <c r="A277" s="175" t="s">
        <v>58</v>
      </c>
      <c r="B277" s="106" t="n">
        <v>1</v>
      </c>
      <c r="C277" s="106" t="n">
        <v>1</v>
      </c>
      <c r="D277" s="106" t="n">
        <v>0.8</v>
      </c>
      <c r="E277" s="106" t="n">
        <v>0.7</v>
      </c>
      <c r="F277" s="96" t="n">
        <v>2.7</v>
      </c>
      <c r="G277" s="96"/>
      <c r="H277" s="96" t="n">
        <v>5.3</v>
      </c>
      <c r="I277" s="96" t="n">
        <v>5.9</v>
      </c>
      <c r="J277" s="96"/>
      <c r="K277" s="96"/>
      <c r="L277" s="96"/>
      <c r="M277" s="96"/>
      <c r="N277" s="56" t="n">
        <f aca="false">SUM(B277:M277)</f>
        <v>17.4</v>
      </c>
      <c r="O277" s="148" t="n">
        <f aca="false">SUM(B277:D277)</f>
        <v>2.8</v>
      </c>
      <c r="P277" s="148" t="n">
        <f aca="false">SUM(E277:G277)</f>
        <v>3.4</v>
      </c>
      <c r="Q277" s="148" t="n">
        <f aca="false">SUM(H277:J277)</f>
        <v>11.2</v>
      </c>
      <c r="R277" s="148" t="n">
        <f aca="false">SUM(K277:M277)</f>
        <v>0</v>
      </c>
      <c r="S277" s="148" t="n">
        <f aca="false">SUM(O277:R277)</f>
        <v>17.4</v>
      </c>
      <c r="T277" s="56" t="n">
        <v>0</v>
      </c>
      <c r="U277" s="56" t="n">
        <v>0</v>
      </c>
      <c r="W277" s="108"/>
      <c r="Y277" s="108"/>
      <c r="AA277" s="108"/>
    </row>
    <row r="278" customFormat="false" ht="12.75" hidden="false" customHeight="false" outlineLevel="0" collapsed="false">
      <c r="A278" s="95" t="s">
        <v>22</v>
      </c>
      <c r="B278" s="99" t="n">
        <v>0</v>
      </c>
      <c r="C278" s="99" t="n">
        <v>0</v>
      </c>
      <c r="D278" s="99" t="n">
        <v>1.5</v>
      </c>
      <c r="E278" s="99" t="n">
        <v>10.9</v>
      </c>
      <c r="F278" s="99" t="n">
        <v>10.3</v>
      </c>
      <c r="G278" s="99" t="n">
        <v>0</v>
      </c>
      <c r="H278" s="99" t="n">
        <v>0</v>
      </c>
      <c r="I278" s="99" t="n">
        <v>0</v>
      </c>
      <c r="J278" s="99" t="n">
        <v>0</v>
      </c>
      <c r="K278" s="99" t="n">
        <v>0</v>
      </c>
      <c r="L278" s="99" t="n">
        <v>0</v>
      </c>
      <c r="M278" s="99" t="n">
        <v>0</v>
      </c>
      <c r="N278" s="100" t="n">
        <f aca="false">SUM(B278:M278)</f>
        <v>22.7</v>
      </c>
      <c r="O278" s="148" t="n">
        <f aca="false">SUM(B278:D278)</f>
        <v>1.5</v>
      </c>
      <c r="P278" s="148" t="n">
        <f aca="false">SUM(E278:G278)</f>
        <v>21.2</v>
      </c>
      <c r="Q278" s="148" t="n">
        <f aca="false">SUM(H278:J278)</f>
        <v>0</v>
      </c>
      <c r="R278" s="148" t="n">
        <f aca="false">SUM(K278:M278)</f>
        <v>0</v>
      </c>
      <c r="S278" s="148" t="n">
        <f aca="false">SUM(O278:R278)</f>
        <v>22.7</v>
      </c>
      <c r="T278" s="100" t="n">
        <v>1</v>
      </c>
      <c r="U278" s="100" t="n">
        <v>1</v>
      </c>
      <c r="X278" s="108"/>
      <c r="Z278" s="108"/>
      <c r="AB278" s="108"/>
    </row>
    <row r="279" customFormat="false" ht="12.75" hidden="false" customHeight="false" outlineLevel="0" collapsed="false">
      <c r="A279" s="110" t="s">
        <v>59</v>
      </c>
      <c r="B279" s="171" t="n">
        <f aca="false">+B275</f>
        <v>1516</v>
      </c>
      <c r="C279" s="171" t="n">
        <f aca="false">+C275</f>
        <v>1370</v>
      </c>
      <c r="D279" s="171" t="n">
        <f aca="false">+D275</f>
        <v>1516.458</v>
      </c>
      <c r="E279" s="171" t="n">
        <f aca="false">+E275</f>
        <v>1467.7</v>
      </c>
      <c r="F279" s="171" t="n">
        <f aca="false">+F275</f>
        <v>1516.458</v>
      </c>
      <c r="G279" s="171" t="n">
        <f aca="false">+G275</f>
        <v>1467.54</v>
      </c>
      <c r="H279" s="171" t="n">
        <f aca="false">+H275</f>
        <v>1514</v>
      </c>
      <c r="I279" s="171" t="n">
        <f aca="false">+I275</f>
        <v>1486.7</v>
      </c>
      <c r="J279" s="171" t="n">
        <f aca="false">+J275</f>
        <v>1467.54</v>
      </c>
      <c r="K279" s="171" t="n">
        <f aca="false">+K275</f>
        <v>1516.458</v>
      </c>
      <c r="L279" s="171" t="n">
        <f aca="false">+L275</f>
        <v>1498.23</v>
      </c>
      <c r="M279" s="171" t="n">
        <f aca="false">+M275</f>
        <v>1548.171</v>
      </c>
      <c r="N279" s="117" t="n">
        <f aca="false">+N275</f>
        <v>17885.255</v>
      </c>
      <c r="O279" s="117" t="n">
        <f aca="false">+O275</f>
        <v>4402.458</v>
      </c>
      <c r="P279" s="117" t="n">
        <f aca="false">+P275</f>
        <v>4451.698</v>
      </c>
      <c r="Q279" s="117" t="n">
        <f aca="false">+Q275</f>
        <v>4468.24</v>
      </c>
      <c r="R279" s="117" t="n">
        <f aca="false">+R275</f>
        <v>4562.859</v>
      </c>
      <c r="S279" s="176" t="n">
        <f aca="false">O279+P279+Q279+R279</f>
        <v>17885.255</v>
      </c>
      <c r="T279" s="117" t="n">
        <f aca="false">+T275</f>
        <v>17917.473</v>
      </c>
      <c r="U279" s="117" t="n">
        <f aca="false">+U275</f>
        <v>17917.473</v>
      </c>
      <c r="W279" s="108"/>
      <c r="X279" s="108"/>
      <c r="Y279" s="108"/>
      <c r="Z279" s="108"/>
      <c r="AA279" s="108"/>
      <c r="AB279" s="108"/>
    </row>
    <row r="280" customFormat="false" ht="12.75" hidden="false" customHeight="false" outlineLevel="0" collapsed="false">
      <c r="A280" s="110" t="s">
        <v>60</v>
      </c>
      <c r="B280" s="171" t="n">
        <f aca="false">SUM(B276:B278)</f>
        <v>16</v>
      </c>
      <c r="C280" s="171" t="n">
        <f aca="false">SUM(C276:C278)</f>
        <v>15</v>
      </c>
      <c r="D280" s="171" t="n">
        <f aca="false">SUM(D276:D278)</f>
        <v>17.5</v>
      </c>
      <c r="E280" s="171" t="n">
        <f aca="false">SUM(E276:E278)</f>
        <v>25.3</v>
      </c>
      <c r="F280" s="171" t="n">
        <f aca="false">SUM(F276:F278)</f>
        <v>25.4</v>
      </c>
      <c r="G280" s="171" t="n">
        <f aca="false">SUM(G276:G278)</f>
        <v>15.5</v>
      </c>
      <c r="H280" s="171" t="n">
        <f aca="false">SUM(H276:H278)</f>
        <v>17.7</v>
      </c>
      <c r="I280" s="171" t="n">
        <f aca="false">SUM(I276:I278)</f>
        <v>15.6</v>
      </c>
      <c r="J280" s="171" t="n">
        <f aca="false">SUM(J276:J278)</f>
        <v>14.7</v>
      </c>
      <c r="K280" s="171" t="n">
        <f aca="false">SUM(K276:K278)</f>
        <v>14.5086975</v>
      </c>
      <c r="L280" s="171" t="n">
        <f aca="false">SUM(L276:L278)</f>
        <v>14.009985</v>
      </c>
      <c r="M280" s="171" t="n">
        <f aca="false">SUM(M276:M278)</f>
        <v>14.6038365</v>
      </c>
      <c r="N280" s="117" t="n">
        <f aca="false">SUM(N276:N278)</f>
        <v>205.822519</v>
      </c>
      <c r="O280" s="117" t="n">
        <f aca="false">SUM(O276:O278)</f>
        <v>48.5</v>
      </c>
      <c r="P280" s="117" t="n">
        <f aca="false">SUM(P276:P278)</f>
        <v>66.2</v>
      </c>
      <c r="Q280" s="117" t="n">
        <f aca="false">SUM(Q276:Q278)</f>
        <v>48</v>
      </c>
      <c r="R280" s="117" t="n">
        <f aca="false">SUM(R276:R278)</f>
        <v>43.122519</v>
      </c>
      <c r="S280" s="176" t="n">
        <f aca="false">O280+P280+Q280+R280</f>
        <v>205.822519</v>
      </c>
      <c r="T280" s="117" t="n">
        <f aca="false">SUM(T276:T278)</f>
        <v>175.624054</v>
      </c>
      <c r="U280" s="117" t="n">
        <f aca="false">SUM(U276:U278)</f>
        <v>175.624054</v>
      </c>
      <c r="W280" s="108"/>
      <c r="X280" s="108"/>
      <c r="Y280" s="108"/>
      <c r="Z280" s="108"/>
      <c r="AA280" s="108"/>
      <c r="AB280" s="108"/>
    </row>
    <row r="281" customFormat="false" ht="12.75" hidden="false" customHeight="false" outlineLevel="0" collapsed="false">
      <c r="A281" s="110" t="s">
        <v>61</v>
      </c>
      <c r="B281" s="171" t="n">
        <f aca="false">SUM(B275:B278)</f>
        <v>1532</v>
      </c>
      <c r="C281" s="171" t="n">
        <f aca="false">SUM(C275:C278)</f>
        <v>1385</v>
      </c>
      <c r="D281" s="171" t="n">
        <f aca="false">SUM(D275:D278)</f>
        <v>1533.958</v>
      </c>
      <c r="E281" s="171" t="n">
        <f aca="false">SUM(E275:E278)</f>
        <v>1493</v>
      </c>
      <c r="F281" s="171" t="n">
        <f aca="false">SUM(F275:F278)</f>
        <v>1541.858</v>
      </c>
      <c r="G281" s="171" t="n">
        <f aca="false">SUM(G275:G278)</f>
        <v>1483.04</v>
      </c>
      <c r="H281" s="171" t="n">
        <f aca="false">SUM(H275:H278)</f>
        <v>1531.7</v>
      </c>
      <c r="I281" s="171" t="n">
        <f aca="false">SUM(I275:I278)</f>
        <v>1502.3</v>
      </c>
      <c r="J281" s="171" t="n">
        <f aca="false">SUM(J275:J278)</f>
        <v>1482.24</v>
      </c>
      <c r="K281" s="171" t="n">
        <f aca="false">SUM(K275:K278)</f>
        <v>1530.9666975</v>
      </c>
      <c r="L281" s="171" t="n">
        <f aca="false">SUM(L275:L278)</f>
        <v>1512.239985</v>
      </c>
      <c r="M281" s="171" t="n">
        <f aca="false">SUM(M275:M278)</f>
        <v>1562.7748365</v>
      </c>
      <c r="N281" s="117" t="n">
        <f aca="false">SUM(N275:N278)</f>
        <v>18091.077519</v>
      </c>
      <c r="O281" s="117" t="n">
        <f aca="false">SUM(O275:O278)</f>
        <v>4450.958</v>
      </c>
      <c r="P281" s="117" t="n">
        <f aca="false">SUM(P275:P278)</f>
        <v>4517.898</v>
      </c>
      <c r="Q281" s="117" t="n">
        <f aca="false">SUM(Q275:Q278)</f>
        <v>4516.24</v>
      </c>
      <c r="R281" s="117" t="n">
        <f aca="false">SUM(R275:R278)</f>
        <v>4605.981519</v>
      </c>
      <c r="S281" s="176" t="n">
        <f aca="false">O281+P281+Q281+R281</f>
        <v>18091.077519</v>
      </c>
      <c r="T281" s="117" t="n">
        <f aca="false">SUM(T275:T278)</f>
        <v>18093.097054</v>
      </c>
      <c r="U281" s="117" t="n">
        <f aca="false">SUM(U275:U278)</f>
        <v>18093.097054</v>
      </c>
    </row>
    <row r="282" customFormat="false" ht="12.75" hidden="false" customHeight="false" outlineLevel="0" collapsed="false">
      <c r="A282" s="113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73"/>
      <c r="Q282" s="173"/>
      <c r="R282" s="173"/>
      <c r="S282" s="173"/>
      <c r="T282" s="162"/>
      <c r="U282" s="162"/>
    </row>
    <row r="283" customFormat="false" ht="12.75" hidden="false" customHeight="false" outlineLevel="0" collapsed="false">
      <c r="A283" s="103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3"/>
      <c r="O283" s="163"/>
      <c r="P283" s="148"/>
      <c r="Q283" s="148"/>
      <c r="R283" s="147" t="n">
        <f aca="false">N283-P283</f>
        <v>0</v>
      </c>
      <c r="S283" s="148" t="e">
        <f aca="false">IF(#REF!=1,SUM(B281:D281),IF(#REF!=2,SUM(E281:G281),IF(#REF!=3,SUM(H281:J281),IF(#REF!=4,SUM(K281:M281),"    WRONG  "))))</f>
        <v>#REF!</v>
      </c>
      <c r="T283" s="163"/>
      <c r="U283" s="163"/>
    </row>
    <row r="284" customFormat="false" ht="15.75" hidden="false" customHeight="false" outlineLevel="0" collapsed="false">
      <c r="A284" s="128" t="s">
        <v>62</v>
      </c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30"/>
      <c r="O284" s="105"/>
      <c r="P284" s="93"/>
      <c r="Q284" s="93"/>
      <c r="R284" s="93"/>
      <c r="S284" s="93"/>
      <c r="T284" s="130"/>
      <c r="U284" s="130"/>
    </row>
    <row r="285" customFormat="false" ht="12.75" hidden="false" customHeight="false" outlineLevel="0" collapsed="false">
      <c r="A285" s="131" t="s">
        <v>14</v>
      </c>
      <c r="B285" s="132" t="n">
        <f aca="false">+B218+B251+B269+B279</f>
        <v>12612</v>
      </c>
      <c r="C285" s="132" t="n">
        <f aca="false">+C218+C251+C269+C279</f>
        <v>17085</v>
      </c>
      <c r="D285" s="132" t="n">
        <f aca="false">+D218+D251+D269+D279</f>
        <v>7478.358</v>
      </c>
      <c r="E285" s="132" t="n">
        <f aca="false">+E218+E251+E269+E279</f>
        <v>11828.2</v>
      </c>
      <c r="F285" s="132" t="n">
        <f aca="false">+F218+F251+F269+F279</f>
        <v>12651.158</v>
      </c>
      <c r="G285" s="132" t="n">
        <f aca="false">+G218+G251+G269+G279</f>
        <v>12129.44</v>
      </c>
      <c r="H285" s="132" t="n">
        <f aca="false">+H218+H251+H269+H279</f>
        <v>12701.8</v>
      </c>
      <c r="I285" s="132" t="n">
        <f aca="false">+I218+I251+I269+I279</f>
        <v>12576.2</v>
      </c>
      <c r="J285" s="132" t="n">
        <f aca="false">+J218+J251+J269+J279</f>
        <v>12033.34</v>
      </c>
      <c r="K285" s="132" t="n">
        <f aca="false">+K218+K251+K269+K279</f>
        <v>12202.43184005</v>
      </c>
      <c r="L285" s="132" t="n">
        <f aca="false">+L218+L251+L269+L279</f>
        <v>11289.5152785</v>
      </c>
      <c r="M285" s="132" t="n">
        <f aca="false">+M218+M251+M269+M279</f>
        <v>12066.1636954934</v>
      </c>
      <c r="N285" s="133" t="n">
        <f aca="false">SUM(B285:M285)</f>
        <v>146653.606814043</v>
      </c>
      <c r="O285" s="135" t="n">
        <f aca="false">SUM(B285:D285)</f>
        <v>37175.358</v>
      </c>
      <c r="P285" s="135" t="n">
        <f aca="false">SUM(E285:G285)</f>
        <v>36608.798</v>
      </c>
      <c r="Q285" s="135" t="n">
        <f aca="false">SUM(H285:J285)</f>
        <v>37311.34</v>
      </c>
      <c r="R285" s="135" t="n">
        <f aca="false">SUM(K285:M285)</f>
        <v>35558.1108140434</v>
      </c>
      <c r="S285" s="97" t="n">
        <f aca="false">O285+P285+Q285+R285</f>
        <v>146653.606814043</v>
      </c>
      <c r="T285" s="133" t="n">
        <f aca="false">T279+T269+T251+T218</f>
        <v>171144.176262092</v>
      </c>
      <c r="U285" s="133" t="n">
        <f aca="false">U279+U269+U251+U218</f>
        <v>294668.793262092</v>
      </c>
    </row>
    <row r="286" customFormat="false" ht="12.75" hidden="false" customHeight="false" outlineLevel="0" collapsed="false">
      <c r="A286" s="131" t="s">
        <v>18</v>
      </c>
      <c r="B286" s="132" t="n">
        <f aca="false">B276+B265+B258+B247+B240+B232+B225+B213+B206+B198+B190</f>
        <v>930</v>
      </c>
      <c r="C286" s="132" t="n">
        <f aca="false">C276+C265+C258+C247+C240+C232+C225+C213+C206+C198+C190</f>
        <v>866</v>
      </c>
      <c r="D286" s="132" t="n">
        <f aca="false">D276+D265+D258+D247+D240+D232+D225+D213+D206+D198+D190</f>
        <v>965.9</v>
      </c>
      <c r="E286" s="132" t="n">
        <f aca="false">E276+E265+E258+E247+E240+E232+E225+E213+E206+E198+E190</f>
        <v>904.8</v>
      </c>
      <c r="F286" s="132" t="n">
        <f aca="false">F276+F265+F258+F247+F240+F232+F225+F213+F206+F198+F190</f>
        <v>896.4</v>
      </c>
      <c r="G286" s="132" t="n">
        <f aca="false">G276+G265+G258+G247+G240+G232+G225+G213+G206+G198+G190</f>
        <v>892.8</v>
      </c>
      <c r="H286" s="132" t="n">
        <f aca="false">H276+H265+H258+H247+H240+H232+H225+H213+H206+H198+H190</f>
        <v>912.7</v>
      </c>
      <c r="I286" s="132" t="n">
        <f aca="false">I276+I265+I258+I247+I240+I232+I225+I213+I206+I198+I190</f>
        <v>1177.8</v>
      </c>
      <c r="J286" s="132" t="n">
        <f aca="false">J276+J265+J258+J247+J240+J232+J225+J213+J206+J198+J190</f>
        <v>923.4</v>
      </c>
      <c r="K286" s="132" t="n">
        <f aca="false">K276+K265+K258+K247+K240+K232+K225+K213+K206+K198+K190</f>
        <v>953.08572985</v>
      </c>
      <c r="L286" s="132" t="n">
        <f aca="false">L276+L265+L258+L247+L240+L232+L225+L213+L206+L198+L190</f>
        <v>934.7792305</v>
      </c>
      <c r="M286" s="132" t="n">
        <f aca="false">M276+M265+M258+M247+M240+M232+M225+M213+M206+M198+M190</f>
        <v>929.1017641066</v>
      </c>
      <c r="N286" s="133" t="n">
        <f aca="false">SUM(B286:M286)</f>
        <v>11286.7667244566</v>
      </c>
      <c r="O286" s="135" t="n">
        <f aca="false">SUM(B286:D286)</f>
        <v>2761.9</v>
      </c>
      <c r="P286" s="135" t="n">
        <f aca="false">SUM(E286:G286)</f>
        <v>2694</v>
      </c>
      <c r="Q286" s="135" t="n">
        <f aca="false">SUM(H286:J286)</f>
        <v>3013.9</v>
      </c>
      <c r="R286" s="135" t="n">
        <f aca="false">SUM(K286:M286)</f>
        <v>2816.9667244566</v>
      </c>
      <c r="S286" s="97" t="n">
        <f aca="false">O286+P286+Q286+R286</f>
        <v>11286.7667244566</v>
      </c>
      <c r="T286" s="105" t="n">
        <f aca="false">T276+T265+T258+T247+T240+T232+T213+T206+T198+T190</f>
        <v>11972.7975163077</v>
      </c>
      <c r="U286" s="105" t="n">
        <f aca="false">U276+U265+U258+U247+U240+U232+U213+U206+U198+U190</f>
        <v>14701.6805163077</v>
      </c>
    </row>
    <row r="287" customFormat="false" ht="12.75" hidden="false" customHeight="false" outlineLevel="0" collapsed="false">
      <c r="A287" s="131" t="s">
        <v>20</v>
      </c>
      <c r="B287" s="132" t="n">
        <f aca="false">+B191+B199+B207+B214+B226+B233+B241+B248+B259+B266+B277</f>
        <v>25</v>
      </c>
      <c r="C287" s="132" t="n">
        <f aca="false">+C191+C199+C207+C214+C226+C233+C241+C248+C259+C266+C277</f>
        <v>20</v>
      </c>
      <c r="D287" s="132" t="n">
        <f aca="false">+D191+D199+D207+D214+D226+D233+D241+D248+D259+D266+D277</f>
        <v>19.7</v>
      </c>
      <c r="E287" s="132" t="n">
        <f aca="false">+E191+E199+E207+E214+E226+E233+E241+E248+E259+E266+E277</f>
        <v>14.4</v>
      </c>
      <c r="F287" s="132" t="n">
        <f aca="false">+F191+F199+F207+F214+F226+F233+F241+F248+F259+F266+F277</f>
        <v>61.7</v>
      </c>
      <c r="G287" s="132" t="n">
        <f aca="false">+G191+G199+G207+G214+G226+G233+G241+G248+G259+G266+G277</f>
        <v>79.7</v>
      </c>
      <c r="H287" s="132" t="n">
        <f aca="false">+H191+H199+H207+H214+H226+H233+H241+H248+H259+H266+H277</f>
        <v>124</v>
      </c>
      <c r="I287" s="132" t="n">
        <f aca="false">+I191+I199+I207+I214+I226+I233+I241+I248+I259+I266+I277</f>
        <v>133.4</v>
      </c>
      <c r="J287" s="132" t="n">
        <f aca="false">+J191+J199+J207+J214+J226+J233+J241+J248+J259+J266+J277</f>
        <v>0</v>
      </c>
      <c r="K287" s="132" t="n">
        <f aca="false">+K191+K199+K207+K214+K226+K233+K241+K248+K259+K266+K277</f>
        <v>0</v>
      </c>
      <c r="L287" s="132" t="n">
        <f aca="false">+L191+L199+L207+L214+L226+L233+L241+L248+L259+L266+L277</f>
        <v>0</v>
      </c>
      <c r="M287" s="132" t="n">
        <f aca="false">+M191+M199+M207+M214+M226+M233+M241+M248+M259+M266+M277</f>
        <v>0</v>
      </c>
      <c r="N287" s="133" t="n">
        <f aca="false">SUM(B287:M287)</f>
        <v>477.9</v>
      </c>
      <c r="O287" s="135" t="n">
        <f aca="false">SUM(B287:D287)</f>
        <v>64.7</v>
      </c>
      <c r="P287" s="135" t="n">
        <f aca="false">SUM(E287:G287)</f>
        <v>155.8</v>
      </c>
      <c r="Q287" s="135" t="n">
        <f aca="false">SUM(H287:J287)</f>
        <v>257.4</v>
      </c>
      <c r="R287" s="135" t="n">
        <f aca="false">SUM(K287:M287)</f>
        <v>0</v>
      </c>
      <c r="S287" s="97" t="n">
        <f aca="false">O287+P287+Q287+R287</f>
        <v>477.9</v>
      </c>
      <c r="T287" s="105" t="n">
        <v>0</v>
      </c>
      <c r="U287" s="105" t="n">
        <v>0</v>
      </c>
    </row>
    <row r="288" customFormat="false" ht="12.75" hidden="false" customHeight="false" outlineLevel="0" collapsed="false">
      <c r="A288" s="131" t="s">
        <v>63</v>
      </c>
      <c r="B288" s="132" t="n">
        <f aca="false">B234</f>
        <v>-41</v>
      </c>
      <c r="C288" s="132" t="n">
        <f aca="false">C234</f>
        <v>20</v>
      </c>
      <c r="D288" s="132" t="n">
        <f aca="false">D234</f>
        <v>6.3</v>
      </c>
      <c r="E288" s="132" t="n">
        <f aca="false">E234</f>
        <v>52.3</v>
      </c>
      <c r="F288" s="132" t="n">
        <f aca="false">F234</f>
        <v>0.3</v>
      </c>
      <c r="G288" s="132" t="n">
        <f aca="false">G234</f>
        <v>3</v>
      </c>
      <c r="H288" s="132" t="n">
        <f aca="false">H234</f>
        <v>0</v>
      </c>
      <c r="I288" s="132" t="n">
        <f aca="false">I234</f>
        <v>0</v>
      </c>
      <c r="J288" s="132" t="n">
        <f aca="false">J234</f>
        <v>0</v>
      </c>
      <c r="K288" s="132" t="n">
        <f aca="false">K234</f>
        <v>0</v>
      </c>
      <c r="L288" s="132" t="n">
        <f aca="false">L234</f>
        <v>0</v>
      </c>
      <c r="M288" s="132" t="n">
        <f aca="false">M234</f>
        <v>0</v>
      </c>
      <c r="N288" s="133" t="n">
        <f aca="false">SUM(B288:M288)</f>
        <v>40.9</v>
      </c>
      <c r="O288" s="135" t="n">
        <f aca="false">SUM(B288:D288)</f>
        <v>-14.7</v>
      </c>
      <c r="P288" s="135" t="n">
        <f aca="false">SUM(E288:G288)</f>
        <v>55.6</v>
      </c>
      <c r="Q288" s="135" t="n">
        <f aca="false">SUM(H288:J288)</f>
        <v>0</v>
      </c>
      <c r="R288" s="135" t="n">
        <f aca="false">SUM(K288:M288)</f>
        <v>0</v>
      </c>
      <c r="S288" s="97" t="n">
        <f aca="false">O288+P288+Q288+R288</f>
        <v>40.9</v>
      </c>
      <c r="T288" s="105" t="n">
        <v>0</v>
      </c>
      <c r="U288" s="105" t="n">
        <v>0</v>
      </c>
    </row>
    <row r="289" customFormat="false" ht="12.75" hidden="false" customHeight="false" outlineLevel="0" collapsed="false">
      <c r="A289" s="131" t="s">
        <v>64</v>
      </c>
      <c r="B289" s="132" t="n">
        <f aca="false">B215+B200</f>
        <v>21</v>
      </c>
      <c r="C289" s="132" t="n">
        <f aca="false">C215+C200</f>
        <v>17</v>
      </c>
      <c r="D289" s="132" t="n">
        <f aca="false">D215+D200</f>
        <v>9.5</v>
      </c>
      <c r="E289" s="132" t="n">
        <f aca="false">E215+E200</f>
        <v>0</v>
      </c>
      <c r="F289" s="132" t="n">
        <f aca="false">F215+F200</f>
        <v>0</v>
      </c>
      <c r="G289" s="132" t="n">
        <f aca="false">G215+G200</f>
        <v>0</v>
      </c>
      <c r="H289" s="132" t="n">
        <f aca="false">H215+H200</f>
        <v>0</v>
      </c>
      <c r="I289" s="132" t="n">
        <f aca="false">I215+I200</f>
        <v>0</v>
      </c>
      <c r="J289" s="132" t="n">
        <f aca="false">J215+J200</f>
        <v>0</v>
      </c>
      <c r="K289" s="132" t="n">
        <f aca="false">K215+K200</f>
        <v>0</v>
      </c>
      <c r="L289" s="132" t="n">
        <f aca="false">L215+L200</f>
        <v>0</v>
      </c>
      <c r="M289" s="132" t="n">
        <f aca="false">M215+M200</f>
        <v>0</v>
      </c>
      <c r="N289" s="133" t="n">
        <f aca="false">SUM(B289:M289)</f>
        <v>47.5</v>
      </c>
      <c r="O289" s="135" t="n">
        <f aca="false">SUM(B289:D289)</f>
        <v>47.5</v>
      </c>
      <c r="P289" s="135" t="n">
        <f aca="false">SUM(E289:G289)</f>
        <v>0</v>
      </c>
      <c r="Q289" s="135" t="n">
        <f aca="false">SUM(H289:J289)</f>
        <v>0</v>
      </c>
      <c r="R289" s="135" t="n">
        <f aca="false">SUM(K289:M289)</f>
        <v>0</v>
      </c>
      <c r="S289" s="97" t="n">
        <f aca="false">O289+P289+Q289+R289</f>
        <v>47.5</v>
      </c>
      <c r="T289" s="105" t="n">
        <v>0</v>
      </c>
      <c r="U289" s="105" t="n">
        <v>0</v>
      </c>
    </row>
    <row r="290" customFormat="false" ht="12.75" hidden="false" customHeight="false" outlineLevel="0" collapsed="false">
      <c r="A290" s="131" t="s">
        <v>22</v>
      </c>
      <c r="B290" s="99" t="n">
        <f aca="false">+B192+B201+B208+B216+B227+B235+B242+B249+B260+B267+B278</f>
        <v>369</v>
      </c>
      <c r="C290" s="99" t="n">
        <f aca="false">+C192+C201+C208+C216+C227+C235+C242+C249+C260+C267+C278</f>
        <v>335</v>
      </c>
      <c r="D290" s="99" t="n">
        <f aca="false">+D192+D201+D208+D216+D227+D235+D242+D249+D260+D267+D278</f>
        <v>283.8</v>
      </c>
      <c r="E290" s="99" t="n">
        <f aca="false">+E192+E201+E208+E216+E227+E235+E242+E249+E260+E267+E278</f>
        <v>1755.9</v>
      </c>
      <c r="F290" s="99" t="n">
        <f aca="false">+F192+F201+F208+F216+F227+F235+F242+F249+F260+F267+F278</f>
        <v>2730</v>
      </c>
      <c r="G290" s="99" t="n">
        <f aca="false">+G192+G201+G208+G216+G227+G235+G242+G249+G260+G267+G278</f>
        <v>1188</v>
      </c>
      <c r="H290" s="99" t="n">
        <f aca="false">+H192+H201+H208+H216+H227+H235+H242+H249+H260+H267+H278</f>
        <v>526.7</v>
      </c>
      <c r="I290" s="99" t="n">
        <f aca="false">+I192+I201+I208+I216+I227+I235+I242+I249+I260+I267+I278</f>
        <v>358.91</v>
      </c>
      <c r="J290" s="99" t="n">
        <f aca="false">+J192+J201+J208+J216+J227+J235+J242+J249+J260+J267+J278</f>
        <v>145</v>
      </c>
      <c r="K290" s="99" t="n">
        <f aca="false">+K192+K201+K208+K216+K227+K235+K242+K249+K260+K267+K278</f>
        <v>96.51292</v>
      </c>
      <c r="L290" s="99" t="n">
        <f aca="false">+L192+L201+L208+L216+L227+L235+L242+L249+L260+L267+L278</f>
        <v>99.9918</v>
      </c>
      <c r="M290" s="99" t="n">
        <f aca="false">+M192+M201+M208+M216+M227+M235+M242+M249+M260+M267+M278</f>
        <v>174.56472</v>
      </c>
      <c r="N290" s="117" t="n">
        <f aca="false">SUM(B290:M290)</f>
        <v>8063.37944</v>
      </c>
      <c r="O290" s="135" t="n">
        <f aca="false">SUM(B290:D290)</f>
        <v>987.8</v>
      </c>
      <c r="P290" s="135" t="n">
        <f aca="false">SUM(E290:G290)</f>
        <v>5673.9</v>
      </c>
      <c r="Q290" s="135" t="n">
        <f aca="false">SUM(H290:J290)</f>
        <v>1030.61</v>
      </c>
      <c r="R290" s="135" t="n">
        <f aca="false">SUM(K290:M290)</f>
        <v>371.06944</v>
      </c>
      <c r="S290" s="97" t="n">
        <f aca="false">O290+P290+Q290+R290</f>
        <v>8063.37944</v>
      </c>
      <c r="T290" s="117" t="n">
        <f aca="false">T278+T267+T260+T249+T235+T216+T201+T192</f>
        <v>1378.49172</v>
      </c>
      <c r="U290" s="117" t="n">
        <f aca="false">U278+U267+U260+U249+U235+U216+U201+U192</f>
        <v>1378.49172</v>
      </c>
    </row>
    <row r="291" customFormat="false" ht="12.75" hidden="false" customHeight="false" outlineLevel="0" collapsed="false">
      <c r="A291" s="110" t="s">
        <v>65</v>
      </c>
      <c r="B291" s="100" t="n">
        <f aca="false">+B285</f>
        <v>12612</v>
      </c>
      <c r="C291" s="100" t="n">
        <f aca="false">+C285</f>
        <v>17085</v>
      </c>
      <c r="D291" s="100" t="n">
        <f aca="false">+D285</f>
        <v>7478.358</v>
      </c>
      <c r="E291" s="100" t="n">
        <f aca="false">+E285</f>
        <v>11828.2</v>
      </c>
      <c r="F291" s="100" t="n">
        <f aca="false">+F285</f>
        <v>12651.158</v>
      </c>
      <c r="G291" s="100" t="n">
        <f aca="false">+G285</f>
        <v>12129.44</v>
      </c>
      <c r="H291" s="100" t="n">
        <f aca="false">+H285</f>
        <v>12701.8</v>
      </c>
      <c r="I291" s="100" t="n">
        <f aca="false">+I285</f>
        <v>12576.2</v>
      </c>
      <c r="J291" s="100" t="n">
        <f aca="false">+J285</f>
        <v>12033.34</v>
      </c>
      <c r="K291" s="100" t="n">
        <f aca="false">+K285</f>
        <v>12202.43184005</v>
      </c>
      <c r="L291" s="100" t="n">
        <f aca="false">+L285</f>
        <v>11289.5152785</v>
      </c>
      <c r="M291" s="100" t="n">
        <f aca="false">+M285</f>
        <v>12066.1636954934</v>
      </c>
      <c r="N291" s="117" t="n">
        <f aca="false">+N285</f>
        <v>146653.606814043</v>
      </c>
      <c r="O291" s="117" t="n">
        <f aca="false">+O285</f>
        <v>37175.358</v>
      </c>
      <c r="P291" s="117" t="n">
        <f aca="false">+P285</f>
        <v>36608.798</v>
      </c>
      <c r="Q291" s="117" t="n">
        <f aca="false">+Q285</f>
        <v>37311.34</v>
      </c>
      <c r="R291" s="117" t="n">
        <f aca="false">+R285</f>
        <v>35558.1108140434</v>
      </c>
      <c r="S291" s="97" t="n">
        <f aca="false">O291+P291+Q291+R291</f>
        <v>146653.606814043</v>
      </c>
      <c r="T291" s="117" t="n">
        <f aca="false">+T285</f>
        <v>171144.176262092</v>
      </c>
      <c r="U291" s="117" t="n">
        <f aca="false">+U285</f>
        <v>294668.793262092</v>
      </c>
    </row>
    <row r="292" customFormat="false" ht="12.75" hidden="false" customHeight="false" outlineLevel="0" collapsed="false">
      <c r="A292" s="110" t="s">
        <v>66</v>
      </c>
      <c r="B292" s="100" t="n">
        <f aca="false">SUM(B286:B290)</f>
        <v>1304</v>
      </c>
      <c r="C292" s="100" t="n">
        <f aca="false">SUM(C286:C290)</f>
        <v>1258</v>
      </c>
      <c r="D292" s="100" t="n">
        <f aca="false">SUM(D286:D290)</f>
        <v>1285.2</v>
      </c>
      <c r="E292" s="100" t="n">
        <f aca="false">SUM(E286:E290)</f>
        <v>2727.4</v>
      </c>
      <c r="F292" s="100" t="n">
        <f aca="false">SUM(F286:F290)</f>
        <v>3688.4</v>
      </c>
      <c r="G292" s="100" t="n">
        <f aca="false">SUM(G286:G290)</f>
        <v>2163.5</v>
      </c>
      <c r="H292" s="100" t="n">
        <f aca="false">SUM(H286:H290)</f>
        <v>1563.4</v>
      </c>
      <c r="I292" s="100" t="n">
        <f aca="false">SUM(I286:I290)</f>
        <v>1670.11</v>
      </c>
      <c r="J292" s="100" t="n">
        <f aca="false">SUM(J286:J290)</f>
        <v>1068.4</v>
      </c>
      <c r="K292" s="100" t="n">
        <f aca="false">SUM(K286:K290)</f>
        <v>1049.59864985</v>
      </c>
      <c r="L292" s="100" t="n">
        <f aca="false">SUM(L286:L290)</f>
        <v>1034.7710305</v>
      </c>
      <c r="M292" s="100" t="n">
        <f aca="false">SUM(M286:M290)</f>
        <v>1103.6664841066</v>
      </c>
      <c r="N292" s="117" t="n">
        <f aca="false">SUM(N286:N290)</f>
        <v>19916.4461644566</v>
      </c>
      <c r="O292" s="117" t="n">
        <f aca="false">SUM(O286:O290)</f>
        <v>3847.2</v>
      </c>
      <c r="P292" s="117" t="n">
        <f aca="false">SUM(P286:P290)</f>
        <v>8579.3</v>
      </c>
      <c r="Q292" s="117" t="n">
        <f aca="false">SUM(Q286:Q290)</f>
        <v>4301.91</v>
      </c>
      <c r="R292" s="117" t="n">
        <f aca="false">SUM(R286:R290)</f>
        <v>3188.0361644566</v>
      </c>
      <c r="S292" s="97" t="n">
        <f aca="false">O292+P292+Q292+R292</f>
        <v>19916.4461644566</v>
      </c>
      <c r="T292" s="117" t="n">
        <f aca="false">SUM(T286:T290)</f>
        <v>13351.2892363077</v>
      </c>
      <c r="U292" s="117" t="n">
        <f aca="false">SUM(U286:U290)</f>
        <v>16080.1722363077</v>
      </c>
    </row>
    <row r="293" customFormat="false" ht="12.75" hidden="false" customHeight="false" outlineLevel="0" collapsed="false">
      <c r="A293" s="110" t="s">
        <v>67</v>
      </c>
      <c r="B293" s="100" t="n">
        <f aca="false">SUM(B291:B292)</f>
        <v>13916</v>
      </c>
      <c r="C293" s="100" t="n">
        <f aca="false">SUM(C291:C292)</f>
        <v>18343</v>
      </c>
      <c r="D293" s="100" t="n">
        <f aca="false">SUM(D291:D292)</f>
        <v>8763.558</v>
      </c>
      <c r="E293" s="100" t="n">
        <f aca="false">SUM(E291:E292)</f>
        <v>14555.6</v>
      </c>
      <c r="F293" s="100" t="n">
        <f aca="false">SUM(F291:F292)</f>
        <v>16339.558</v>
      </c>
      <c r="G293" s="100" t="n">
        <f aca="false">SUM(G291:G292)</f>
        <v>14292.94</v>
      </c>
      <c r="H293" s="100" t="n">
        <f aca="false">SUM(H291:H292)</f>
        <v>14265.2</v>
      </c>
      <c r="I293" s="100" t="n">
        <f aca="false">SUM(I291:I292)</f>
        <v>14246.31</v>
      </c>
      <c r="J293" s="100" t="n">
        <f aca="false">SUM(J291:J292)</f>
        <v>13101.74</v>
      </c>
      <c r="K293" s="100" t="n">
        <f aca="false">SUM(K291:K292)</f>
        <v>13252.0304899</v>
      </c>
      <c r="L293" s="100" t="n">
        <f aca="false">SUM(L291:L292)</f>
        <v>12324.286309</v>
      </c>
      <c r="M293" s="100" t="n">
        <f aca="false">SUM(M291:M292)</f>
        <v>13169.8301796</v>
      </c>
      <c r="N293" s="117" t="n">
        <f aca="false">SUM(N291:N292)</f>
        <v>166570.0529785</v>
      </c>
      <c r="O293" s="117" t="n">
        <f aca="false">SUM(O291:O292)</f>
        <v>41022.558</v>
      </c>
      <c r="P293" s="117" t="n">
        <f aca="false">SUM(P291:P292)</f>
        <v>45188.098</v>
      </c>
      <c r="Q293" s="117" t="n">
        <f aca="false">SUM(Q291:Q292)</f>
        <v>41613.25</v>
      </c>
      <c r="R293" s="117" t="n">
        <f aca="false">SUM(R291:R292)</f>
        <v>38746.1469785</v>
      </c>
      <c r="S293" s="97" t="n">
        <f aca="false">O293+P293+Q293+R293</f>
        <v>166570.0529785</v>
      </c>
      <c r="T293" s="117" t="n">
        <f aca="false">SUM(T291:T292)</f>
        <v>184495.4654984</v>
      </c>
      <c r="U293" s="117" t="n">
        <f aca="false">SUM(U291:U292)</f>
        <v>310748.9654984</v>
      </c>
      <c r="AE293" s="108"/>
    </row>
    <row r="294" customFormat="false" ht="12.75" hidden="false" customHeight="false" outlineLevel="0" collapsed="false">
      <c r="A294" s="113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48"/>
      <c r="Q294" s="148"/>
      <c r="R294" s="147"/>
      <c r="S294" s="148"/>
      <c r="T294" s="169"/>
      <c r="U294" s="169"/>
    </row>
    <row r="295" customFormat="false" ht="12.75" hidden="false" customHeight="false" outlineLevel="0" collapsed="false">
      <c r="A295" s="103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8"/>
      <c r="O295" s="178"/>
      <c r="P295" s="148"/>
      <c r="Q295" s="148"/>
      <c r="R295" s="147"/>
      <c r="S295" s="148"/>
      <c r="T295" s="178"/>
      <c r="U295" s="178"/>
    </row>
    <row r="296" customFormat="false" ht="15.75" hidden="false" customHeight="false" outlineLevel="0" collapsed="false">
      <c r="A296" s="91" t="s">
        <v>68</v>
      </c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179"/>
      <c r="O296" s="179"/>
      <c r="P296" s="180"/>
      <c r="Q296" s="180"/>
      <c r="R296" s="180"/>
      <c r="S296" s="180"/>
      <c r="T296" s="179"/>
      <c r="U296" s="179"/>
    </row>
    <row r="297" customFormat="false" ht="12.75" hidden="false" customHeight="false" outlineLevel="0" collapsed="false">
      <c r="A297" s="181" t="s">
        <v>69</v>
      </c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3"/>
      <c r="O297" s="183"/>
      <c r="P297" s="184"/>
      <c r="Q297" s="184"/>
      <c r="R297" s="184"/>
      <c r="S297" s="184"/>
      <c r="T297" s="183"/>
      <c r="U297" s="183"/>
    </row>
    <row r="298" customFormat="false" ht="12.75" hidden="false" customHeight="false" outlineLevel="0" collapsed="false">
      <c r="A298" s="185" t="s">
        <v>70</v>
      </c>
      <c r="B298" s="186" t="n">
        <v>139</v>
      </c>
      <c r="C298" s="186" t="n">
        <v>139</v>
      </c>
      <c r="D298" s="186" t="n">
        <v>139</v>
      </c>
      <c r="E298" s="186" t="n">
        <v>139</v>
      </c>
      <c r="F298" s="186" t="n">
        <v>139</v>
      </c>
      <c r="G298" s="186" t="n">
        <v>139</v>
      </c>
      <c r="H298" s="186" t="n">
        <v>139</v>
      </c>
      <c r="I298" s="186" t="n">
        <f aca="false">I341</f>
        <v>99.9099</v>
      </c>
      <c r="J298" s="186" t="n">
        <f aca="false">J341</f>
        <v>99.9099</v>
      </c>
      <c r="K298" s="186" t="n">
        <f aca="false">K341</f>
        <v>99.9099</v>
      </c>
      <c r="L298" s="186" t="n">
        <f aca="false">L341</f>
        <v>99.9099</v>
      </c>
      <c r="M298" s="186" t="n">
        <f aca="false">M341</f>
        <v>99.9099</v>
      </c>
      <c r="N298" s="187" t="n">
        <f aca="false">SUM(B298:M298)</f>
        <v>1472.5495</v>
      </c>
      <c r="O298" s="135" t="n">
        <f aca="false">SUM(B298:D298)</f>
        <v>417</v>
      </c>
      <c r="P298" s="135" t="n">
        <f aca="false">SUM(E298:G298)</f>
        <v>417</v>
      </c>
      <c r="Q298" s="135" t="n">
        <f aca="false">SUM(H298:J298)</f>
        <v>338.8198</v>
      </c>
      <c r="R298" s="135" t="n">
        <f aca="false">SUM(K298:M298)</f>
        <v>299.7297</v>
      </c>
      <c r="S298" s="188" t="n">
        <f aca="false">O298+P298+Q298+R298</f>
        <v>1472.5495</v>
      </c>
      <c r="T298" s="187" t="n">
        <v>1198.9188</v>
      </c>
      <c r="U298" s="187" t="n">
        <v>1198.9188</v>
      </c>
    </row>
    <row r="299" customFormat="false" ht="12.75" hidden="false" customHeight="false" outlineLevel="0" collapsed="false">
      <c r="A299" s="169" t="s">
        <v>71</v>
      </c>
      <c r="B299" s="186" t="n">
        <v>52</v>
      </c>
      <c r="C299" s="186" t="n">
        <v>-1032</v>
      </c>
      <c r="D299" s="186" t="n">
        <f aca="false">960.9+950</f>
        <v>1910.9</v>
      </c>
      <c r="E299" s="186" t="n">
        <v>10</v>
      </c>
      <c r="F299" s="186" t="n">
        <v>80</v>
      </c>
      <c r="G299" s="186" t="n">
        <v>3</v>
      </c>
      <c r="H299" s="186" t="n">
        <v>8</v>
      </c>
      <c r="I299" s="186" t="n">
        <v>-248</v>
      </c>
      <c r="J299" s="186" t="n">
        <f aca="false">-'Fuel Calc'!K82</f>
        <v>64.5489</v>
      </c>
      <c r="K299" s="186" t="n">
        <f aca="false">-'Fuel Calc'!L82</f>
        <v>71.137766088</v>
      </c>
      <c r="L299" s="186" t="n">
        <f aca="false">-'Fuel Calc'!M82</f>
        <v>80.49181338</v>
      </c>
      <c r="M299" s="186" t="n">
        <f aca="false">-'Fuel Calc'!N82</f>
        <v>103.28855373</v>
      </c>
      <c r="N299" s="187" t="n">
        <f aca="false">SUM(B299:M299)</f>
        <v>1103.367033198</v>
      </c>
      <c r="O299" s="135" t="n">
        <f aca="false">SUM(B299:D299)</f>
        <v>930.9</v>
      </c>
      <c r="P299" s="135" t="n">
        <f aca="false">SUM(E299:G299)</f>
        <v>93</v>
      </c>
      <c r="Q299" s="135" t="n">
        <f aca="false">SUM(H299:J299)</f>
        <v>-175.4511</v>
      </c>
      <c r="R299" s="135" t="n">
        <f aca="false">SUM(K299:M299)</f>
        <v>254.918133198</v>
      </c>
      <c r="S299" s="188" t="n">
        <f aca="false">O299+P299+Q299+R299</f>
        <v>1103.367033198</v>
      </c>
      <c r="T299" s="187" t="e">
        <f aca="false">-#REF!</f>
        <v>#REF!</v>
      </c>
      <c r="U299" s="187" t="e">
        <f aca="false">-#REF!</f>
        <v>#REF!</v>
      </c>
    </row>
    <row r="300" customFormat="false" ht="12.75" hidden="false" customHeight="false" outlineLevel="0" collapsed="false">
      <c r="A300" s="185" t="s">
        <v>72</v>
      </c>
      <c r="B300" s="186" t="n">
        <v>335</v>
      </c>
      <c r="C300" s="186" t="n">
        <v>272</v>
      </c>
      <c r="D300" s="186" t="n">
        <v>872.7</v>
      </c>
      <c r="E300" s="186" t="n">
        <v>176</v>
      </c>
      <c r="F300" s="186" t="n">
        <v>168.7</v>
      </c>
      <c r="G300" s="186" t="n">
        <v>149</v>
      </c>
      <c r="H300" s="186" t="n">
        <v>157</v>
      </c>
      <c r="I300" s="186" t="n">
        <f aca="false">I315+I336</f>
        <v>261.11796</v>
      </c>
      <c r="J300" s="186" t="n">
        <f aca="false">J315+J336</f>
        <v>245.8692</v>
      </c>
      <c r="K300" s="186" t="n">
        <f aca="false">K315+K336</f>
        <v>337.1105278</v>
      </c>
      <c r="L300" s="186" t="n">
        <f aca="false">L315+L336</f>
        <v>339.081958</v>
      </c>
      <c r="M300" s="186" t="n">
        <f aca="false">M315+M336</f>
        <v>365.3251425832</v>
      </c>
      <c r="N300" s="187" t="n">
        <f aca="false">SUM(B300:M300)</f>
        <v>3678.9047883832</v>
      </c>
      <c r="O300" s="135" t="n">
        <f aca="false">SUM(B300:D300)</f>
        <v>1479.7</v>
      </c>
      <c r="P300" s="135" t="n">
        <f aca="false">SUM(E300:G300)</f>
        <v>493.7</v>
      </c>
      <c r="Q300" s="135" t="n">
        <f aca="false">SUM(H300:J300)</f>
        <v>663.98716</v>
      </c>
      <c r="R300" s="135" t="n">
        <f aca="false">SUM(K300:M300)</f>
        <v>1041.5176283832</v>
      </c>
      <c r="S300" s="188" t="n">
        <f aca="false">O300+P300+Q300+R300</f>
        <v>3678.9047883832</v>
      </c>
      <c r="T300" s="187" t="n">
        <f aca="false">4971.6987648802-751.6</f>
        <v>4220.0987648802</v>
      </c>
      <c r="U300" s="187" t="n">
        <f aca="false">4971.6987648802-751.6</f>
        <v>4220.0987648802</v>
      </c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</row>
    <row r="301" customFormat="false" ht="12.75" hidden="false" customHeight="false" outlineLevel="0" collapsed="false">
      <c r="A301" s="185" t="s">
        <v>73</v>
      </c>
      <c r="B301" s="190" t="n">
        <f aca="false">-4888-52</f>
        <v>-4940</v>
      </c>
      <c r="C301" s="190" t="n">
        <f aca="false">-4665+1032</f>
        <v>-3633</v>
      </c>
      <c r="D301" s="190" t="n">
        <v>-3807.4</v>
      </c>
      <c r="E301" s="190" t="n">
        <v>-3273</v>
      </c>
      <c r="F301" s="190" t="n">
        <v>-2668</v>
      </c>
      <c r="G301" s="190" t="n">
        <v>-2834</v>
      </c>
      <c r="H301" s="190" t="n">
        <f aca="false">-2745-625</f>
        <v>-3370</v>
      </c>
      <c r="I301" s="190" t="n">
        <v>-3023</v>
      </c>
      <c r="J301" s="190" t="n">
        <v>-2475</v>
      </c>
      <c r="K301" s="190" t="n">
        <f aca="false">-'Fuel Calc'!L79-'Fuel Calc'!L80-'Fuel Calc'!L81</f>
        <v>-2818</v>
      </c>
      <c r="L301" s="190" t="n">
        <f aca="false">-'Fuel Calc'!M79-'Fuel Calc'!M80-'Fuel Calc'!M81</f>
        <v>-2744</v>
      </c>
      <c r="M301" s="190" t="n">
        <f aca="false">-'Fuel Calc'!N79-'Fuel Calc'!N80-'Fuel Calc'!N81</f>
        <v>-2679</v>
      </c>
      <c r="N301" s="191" t="n">
        <f aca="false">SUM(B301:M301)</f>
        <v>-38264.4</v>
      </c>
      <c r="O301" s="135" t="n">
        <f aca="false">SUM(B301:D301)</f>
        <v>-12380.4</v>
      </c>
      <c r="P301" s="135" t="n">
        <f aca="false">SUM(E301:G301)</f>
        <v>-8775</v>
      </c>
      <c r="Q301" s="135" t="n">
        <f aca="false">SUM(H301:J301)</f>
        <v>-8868</v>
      </c>
      <c r="R301" s="135" t="n">
        <f aca="false">SUM(K301:M301)</f>
        <v>-8241</v>
      </c>
      <c r="S301" s="188" t="n">
        <f aca="false">O301+P301+Q301+R301</f>
        <v>-38264.4</v>
      </c>
      <c r="T301" s="191" t="e">
        <f aca="false">(#REF!+#REF!+#REF!)*-1</f>
        <v>#REF!</v>
      </c>
      <c r="U301" s="191" t="e">
        <f aca="false">(#REF!+#REF!+#REF!)*-1</f>
        <v>#REF!</v>
      </c>
    </row>
    <row r="302" customFormat="false" ht="12.75" hidden="false" customHeight="false" outlineLevel="0" collapsed="false">
      <c r="A302" s="175" t="s">
        <v>74</v>
      </c>
      <c r="B302" s="192" t="n">
        <f aca="false">SUM(B298:B301)</f>
        <v>-4414</v>
      </c>
      <c r="C302" s="192" t="n">
        <f aca="false">SUM(C298:C301)</f>
        <v>-4254</v>
      </c>
      <c r="D302" s="192" t="n">
        <f aca="false">SUM(D298:D301)</f>
        <v>-884.8</v>
      </c>
      <c r="E302" s="192" t="n">
        <f aca="false">SUM(E298:E301)</f>
        <v>-2948</v>
      </c>
      <c r="F302" s="192" t="n">
        <f aca="false">SUM(F298:F301)</f>
        <v>-2280.3</v>
      </c>
      <c r="G302" s="192" t="n">
        <f aca="false">SUM(G298:G301)</f>
        <v>-2543</v>
      </c>
      <c r="H302" s="192" t="n">
        <f aca="false">SUM(H298:H301)</f>
        <v>-3066</v>
      </c>
      <c r="I302" s="192" t="n">
        <f aca="false">SUM(I298:I301)</f>
        <v>-2909.97214</v>
      </c>
      <c r="J302" s="192" t="n">
        <f aca="false">SUM(J298:J301)</f>
        <v>-2064.672</v>
      </c>
      <c r="K302" s="192" t="n">
        <f aca="false">SUM(K298:K301)</f>
        <v>-2309.841806112</v>
      </c>
      <c r="L302" s="192" t="n">
        <f aca="false">SUM(L298:L301)</f>
        <v>-2224.51632862</v>
      </c>
      <c r="M302" s="192" t="n">
        <f aca="false">SUM(M298:M301)</f>
        <v>-2110.4764036868</v>
      </c>
      <c r="N302" s="187" t="n">
        <f aca="false">SUM(N298:N301)</f>
        <v>-32009.5786784188</v>
      </c>
      <c r="O302" s="187" t="n">
        <f aca="false">SUM(O298:O301)</f>
        <v>-9552.8</v>
      </c>
      <c r="P302" s="187" t="n">
        <f aca="false">SUM(P298:P301)</f>
        <v>-7771.3</v>
      </c>
      <c r="Q302" s="187" t="n">
        <f aca="false">SUM(Q298:Q301)</f>
        <v>-8040.64414</v>
      </c>
      <c r="R302" s="187" t="n">
        <f aca="false">SUM(R298:R301)</f>
        <v>-6644.8345384188</v>
      </c>
      <c r="S302" s="187" t="n">
        <f aca="false">SUM(S298:S301)</f>
        <v>-32009.5786784188</v>
      </c>
      <c r="T302" s="187" t="e">
        <f aca="false">SUM(T298:T301)</f>
        <v>#REF!</v>
      </c>
      <c r="U302" s="187" t="e">
        <f aca="false">SUM(U298:U301)</f>
        <v>#REF!</v>
      </c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152"/>
      <c r="BN302" s="152"/>
      <c r="BO302" s="152"/>
      <c r="BP302" s="152"/>
      <c r="BQ302" s="152"/>
      <c r="BR302" s="152"/>
      <c r="BS302" s="152"/>
      <c r="BT302" s="152"/>
      <c r="BU302" s="152"/>
      <c r="BV302" s="152"/>
      <c r="BW302" s="152"/>
      <c r="BX302" s="152"/>
      <c r="BY302" s="152"/>
      <c r="BZ302" s="152"/>
      <c r="CA302" s="152"/>
      <c r="CB302" s="152"/>
      <c r="CC302" s="152"/>
      <c r="CD302" s="152"/>
      <c r="CE302" s="152"/>
      <c r="CF302" s="152"/>
      <c r="CG302" s="152"/>
      <c r="CH302" s="152"/>
      <c r="CI302" s="152"/>
      <c r="CJ302" s="152"/>
      <c r="CK302" s="152"/>
      <c r="CL302" s="152"/>
      <c r="CM302" s="152"/>
      <c r="CN302" s="152"/>
      <c r="CO302" s="152"/>
      <c r="CP302" s="152"/>
      <c r="CQ302" s="152"/>
      <c r="CR302" s="152"/>
      <c r="CS302" s="152"/>
      <c r="CT302" s="152"/>
      <c r="CU302" s="152"/>
      <c r="CV302" s="152"/>
      <c r="CW302" s="152"/>
      <c r="CX302" s="152"/>
      <c r="CY302" s="152"/>
      <c r="CZ302" s="152"/>
      <c r="DA302" s="152"/>
      <c r="DB302" s="152"/>
      <c r="DC302" s="152"/>
      <c r="DD302" s="152"/>
      <c r="DE302" s="152"/>
      <c r="DF302" s="152"/>
      <c r="DG302" s="152"/>
      <c r="DH302" s="152"/>
      <c r="DI302" s="152"/>
      <c r="DJ302" s="152"/>
      <c r="DK302" s="152"/>
      <c r="DL302" s="152"/>
      <c r="DM302" s="152"/>
      <c r="DN302" s="152"/>
      <c r="DO302" s="152"/>
      <c r="DP302" s="152"/>
      <c r="DQ302" s="152"/>
      <c r="DR302" s="152"/>
      <c r="DS302" s="152"/>
      <c r="DT302" s="152"/>
      <c r="DU302" s="152"/>
      <c r="DV302" s="152"/>
      <c r="DW302" s="152"/>
      <c r="DX302" s="152"/>
      <c r="DY302" s="152"/>
      <c r="DZ302" s="152"/>
      <c r="EA302" s="152"/>
      <c r="EB302" s="152"/>
      <c r="EC302" s="152"/>
      <c r="ED302" s="152"/>
      <c r="EE302" s="152"/>
      <c r="EF302" s="152"/>
      <c r="EG302" s="152"/>
      <c r="EH302" s="152"/>
      <c r="EI302" s="152"/>
      <c r="EJ302" s="152"/>
      <c r="EK302" s="152"/>
      <c r="EL302" s="152"/>
      <c r="EM302" s="152"/>
      <c r="EN302" s="152"/>
      <c r="EO302" s="152"/>
      <c r="EP302" s="152"/>
      <c r="EQ302" s="152"/>
      <c r="ER302" s="152"/>
      <c r="ES302" s="152"/>
      <c r="ET302" s="152"/>
      <c r="EU302" s="152"/>
      <c r="EV302" s="152"/>
      <c r="EW302" s="152"/>
      <c r="EX302" s="152"/>
      <c r="EY302" s="152"/>
      <c r="EZ302" s="152"/>
      <c r="FA302" s="152"/>
      <c r="FB302" s="152"/>
      <c r="FC302" s="152"/>
      <c r="FD302" s="152"/>
      <c r="FE302" s="152"/>
      <c r="FF302" s="152"/>
      <c r="FG302" s="152"/>
      <c r="FH302" s="152"/>
      <c r="FI302" s="152"/>
      <c r="FJ302" s="152"/>
      <c r="FK302" s="152"/>
      <c r="FL302" s="152"/>
      <c r="FM302" s="152"/>
      <c r="FN302" s="152"/>
      <c r="FO302" s="152"/>
      <c r="FP302" s="152"/>
      <c r="FQ302" s="152"/>
      <c r="FR302" s="152"/>
      <c r="FS302" s="152"/>
      <c r="FT302" s="152"/>
      <c r="FU302" s="152"/>
      <c r="FV302" s="152"/>
      <c r="FW302" s="152"/>
      <c r="FX302" s="152"/>
      <c r="FY302" s="152"/>
      <c r="FZ302" s="152"/>
      <c r="GA302" s="152"/>
      <c r="GB302" s="152"/>
      <c r="GC302" s="152"/>
      <c r="GD302" s="152"/>
      <c r="GE302" s="152"/>
      <c r="GF302" s="152"/>
      <c r="GG302" s="152"/>
      <c r="GH302" s="152"/>
      <c r="GI302" s="152"/>
      <c r="GJ302" s="152"/>
      <c r="GK302" s="152"/>
      <c r="GL302" s="152"/>
      <c r="GM302" s="152"/>
      <c r="GN302" s="152"/>
      <c r="GO302" s="152"/>
      <c r="GP302" s="152"/>
      <c r="GQ302" s="152"/>
      <c r="GR302" s="152"/>
      <c r="GS302" s="152"/>
      <c r="GT302" s="152"/>
      <c r="GU302" s="152"/>
      <c r="GV302" s="152"/>
      <c r="GW302" s="152"/>
      <c r="GX302" s="152"/>
      <c r="GY302" s="152"/>
      <c r="GZ302" s="152"/>
      <c r="HA302" s="152"/>
      <c r="HB302" s="152"/>
      <c r="HC302" s="152"/>
      <c r="HD302" s="152"/>
      <c r="HE302" s="152"/>
      <c r="HF302" s="152"/>
      <c r="HG302" s="152"/>
      <c r="HH302" s="152"/>
      <c r="HI302" s="152"/>
      <c r="HJ302" s="152"/>
      <c r="HK302" s="152"/>
      <c r="HL302" s="152"/>
      <c r="HM302" s="152"/>
      <c r="HN302" s="152"/>
      <c r="HO302" s="152"/>
      <c r="HP302" s="152"/>
      <c r="HQ302" s="152"/>
      <c r="HR302" s="152"/>
      <c r="HS302" s="152"/>
      <c r="HT302" s="152"/>
      <c r="HU302" s="152"/>
      <c r="HV302" s="152"/>
      <c r="HW302" s="152"/>
      <c r="HX302" s="152"/>
      <c r="HY302" s="152"/>
      <c r="HZ302" s="152"/>
      <c r="IA302" s="152"/>
      <c r="IB302" s="152"/>
      <c r="IC302" s="152"/>
      <c r="ID302" s="152"/>
      <c r="IE302" s="152"/>
      <c r="IF302" s="152"/>
      <c r="IG302" s="152"/>
      <c r="IH302" s="152"/>
      <c r="II302" s="152"/>
      <c r="IJ302" s="152"/>
      <c r="IK302" s="152"/>
      <c r="IL302" s="152"/>
      <c r="IM302" s="152"/>
      <c r="IN302" s="152"/>
      <c r="IO302" s="152"/>
      <c r="IP302" s="152"/>
      <c r="IQ302" s="152"/>
      <c r="IR302" s="152"/>
      <c r="IS302" s="152"/>
      <c r="IT302" s="152"/>
      <c r="IU302" s="152"/>
      <c r="IV302" s="152"/>
      <c r="IW302" s="152"/>
    </row>
    <row r="303" customFormat="false" ht="12.75" hidden="false" customHeight="false" outlineLevel="0" collapsed="false">
      <c r="A303" s="62"/>
      <c r="B303" s="193"/>
      <c r="C303" s="193"/>
      <c r="D303" s="194"/>
      <c r="E303" s="193"/>
      <c r="F303" s="193"/>
      <c r="G303" s="193"/>
      <c r="H303" s="193"/>
      <c r="I303" s="193"/>
      <c r="J303" s="193"/>
      <c r="K303" s="193"/>
      <c r="L303" s="193"/>
      <c r="M303" s="193"/>
      <c r="N303" s="187"/>
      <c r="O303" s="187"/>
      <c r="P303" s="188"/>
      <c r="Q303" s="195"/>
      <c r="R303" s="195"/>
      <c r="S303" s="188"/>
      <c r="T303" s="187"/>
      <c r="U303" s="187"/>
    </row>
    <row r="304" customFormat="false" ht="12.75" hidden="false" customHeight="false" outlineLevel="0" collapsed="false">
      <c r="A304" s="185" t="s">
        <v>140</v>
      </c>
      <c r="B304" s="196"/>
      <c r="C304" s="186"/>
      <c r="D304" s="186"/>
      <c r="E304" s="186"/>
      <c r="F304" s="186"/>
      <c r="G304" s="186"/>
      <c r="H304" s="186" t="n">
        <v>-142</v>
      </c>
      <c r="I304" s="186"/>
      <c r="J304" s="186"/>
      <c r="K304" s="186"/>
      <c r="L304" s="186"/>
      <c r="M304" s="186"/>
      <c r="N304" s="187" t="n">
        <f aca="false">SUM(B304:M304)</f>
        <v>-142</v>
      </c>
      <c r="O304" s="135" t="n">
        <f aca="false">SUM(B304:D304)</f>
        <v>0</v>
      </c>
      <c r="P304" s="135" t="n">
        <f aca="false">SUM(E304:G304)</f>
        <v>0</v>
      </c>
      <c r="Q304" s="135" t="n">
        <f aca="false">SUM(H304:J304)</f>
        <v>-142</v>
      </c>
      <c r="R304" s="135" t="n">
        <f aca="false">SUM(K304:M304)</f>
        <v>0</v>
      </c>
      <c r="S304" s="188" t="n">
        <f aca="false">O304+P304+Q304+R304</f>
        <v>-142</v>
      </c>
      <c r="T304" s="187" t="n">
        <v>0</v>
      </c>
      <c r="U304" s="187" t="n">
        <v>0</v>
      </c>
    </row>
    <row r="305" customFormat="false" ht="12.75" hidden="false" customHeight="false" outlineLevel="0" collapsed="false">
      <c r="A305" s="185" t="s">
        <v>141</v>
      </c>
      <c r="B305" s="196" t="n">
        <v>-13</v>
      </c>
      <c r="C305" s="196" t="n">
        <f aca="false">-12.5</f>
        <v>-12.5</v>
      </c>
      <c r="D305" s="196" t="n">
        <f aca="false">-12.5</f>
        <v>-12.5</v>
      </c>
      <c r="E305" s="196" t="n">
        <f aca="false">-12.5</f>
        <v>-12.5</v>
      </c>
      <c r="F305" s="196" t="n">
        <f aca="false">-12.5</f>
        <v>-12.5</v>
      </c>
      <c r="G305" s="196" t="n">
        <f aca="false">-12.5</f>
        <v>-12.5</v>
      </c>
      <c r="H305" s="196" t="n">
        <f aca="false">-12.5</f>
        <v>-12.5</v>
      </c>
      <c r="I305" s="196" t="n">
        <f aca="false">-12.5</f>
        <v>-12.5</v>
      </c>
      <c r="J305" s="196" t="n">
        <f aca="false">-12.5</f>
        <v>-12.5</v>
      </c>
      <c r="K305" s="196" t="n">
        <f aca="false">-12.5</f>
        <v>-12.5</v>
      </c>
      <c r="L305" s="196" t="n">
        <f aca="false">-12.5</f>
        <v>-12.5</v>
      </c>
      <c r="M305" s="196" t="n">
        <f aca="false">-12.5</f>
        <v>-12.5</v>
      </c>
      <c r="N305" s="187" t="n">
        <f aca="false">SUM(B305:M305)</f>
        <v>-150.5</v>
      </c>
      <c r="O305" s="135" t="n">
        <f aca="false">SUM(B305:D305)</f>
        <v>-38</v>
      </c>
      <c r="P305" s="135" t="n">
        <f aca="false">SUM(E305:G305)</f>
        <v>-37.5</v>
      </c>
      <c r="Q305" s="135" t="n">
        <f aca="false">SUM(H305:J305)</f>
        <v>-37.5</v>
      </c>
      <c r="R305" s="135" t="n">
        <f aca="false">SUM(K305:M305)</f>
        <v>-37.5</v>
      </c>
      <c r="S305" s="188" t="n">
        <f aca="false">O305+P305+Q305+R305</f>
        <v>-150.5</v>
      </c>
      <c r="T305" s="187" t="n">
        <v>-150</v>
      </c>
      <c r="U305" s="187" t="n">
        <v>-150</v>
      </c>
    </row>
    <row r="306" customFormat="false" ht="12.75" hidden="false" customHeight="false" outlineLevel="0" collapsed="false">
      <c r="A306" s="185" t="s">
        <v>142</v>
      </c>
      <c r="B306" s="196" t="n">
        <v>-17</v>
      </c>
      <c r="C306" s="196" t="n">
        <f aca="false">-16.865</f>
        <v>-16.865</v>
      </c>
      <c r="D306" s="196" t="n">
        <v>-14.9</v>
      </c>
      <c r="E306" s="196" t="n">
        <f aca="false">-15</f>
        <v>-15</v>
      </c>
      <c r="F306" s="196" t="n">
        <v>-14.6</v>
      </c>
      <c r="G306" s="196" t="n">
        <f aca="false">-15</f>
        <v>-15</v>
      </c>
      <c r="H306" s="196" t="n">
        <f aca="false">-15</f>
        <v>-15</v>
      </c>
      <c r="I306" s="196" t="n">
        <f aca="false">-15</f>
        <v>-15</v>
      </c>
      <c r="J306" s="196" t="n">
        <f aca="false">-15</f>
        <v>-15</v>
      </c>
      <c r="K306" s="196" t="n">
        <f aca="false">-15</f>
        <v>-15</v>
      </c>
      <c r="L306" s="196" t="n">
        <f aca="false">-15</f>
        <v>-15</v>
      </c>
      <c r="M306" s="196" t="n">
        <f aca="false">-15</f>
        <v>-15</v>
      </c>
      <c r="N306" s="187" t="n">
        <f aca="false">SUM(B306:M306)</f>
        <v>-183.365</v>
      </c>
      <c r="O306" s="135" t="n">
        <f aca="false">SUM(B306:D306)</f>
        <v>-48.765</v>
      </c>
      <c r="P306" s="135" t="n">
        <f aca="false">SUM(E306:G306)</f>
        <v>-44.6</v>
      </c>
      <c r="Q306" s="135" t="n">
        <f aca="false">SUM(H306:J306)</f>
        <v>-45</v>
      </c>
      <c r="R306" s="135" t="n">
        <f aca="false">SUM(K306:M306)</f>
        <v>-45</v>
      </c>
      <c r="S306" s="188" t="n">
        <f aca="false">O306+P306+Q306+R306</f>
        <v>-183.365</v>
      </c>
      <c r="T306" s="187" t="n">
        <v>-183.865</v>
      </c>
      <c r="U306" s="187" t="n">
        <v>-183.865</v>
      </c>
    </row>
    <row r="307" customFormat="false" ht="12.75" hidden="false" customHeight="false" outlineLevel="0" collapsed="false">
      <c r="A307" s="185" t="s">
        <v>143</v>
      </c>
      <c r="B307" s="186" t="n">
        <f aca="false">150-150</f>
        <v>0</v>
      </c>
      <c r="C307" s="186"/>
      <c r="D307" s="197" t="n">
        <f aca="false">300-300+202-202</f>
        <v>0</v>
      </c>
      <c r="E307" s="186" t="n">
        <f aca="false">202-202</f>
        <v>0</v>
      </c>
      <c r="F307" s="186" t="n">
        <f aca="false">0</f>
        <v>0</v>
      </c>
      <c r="G307" s="186" t="n">
        <f aca="false">0</f>
        <v>0</v>
      </c>
      <c r="H307" s="186" t="n">
        <f aca="false">0</f>
        <v>0</v>
      </c>
      <c r="I307" s="186" t="n">
        <f aca="false">0</f>
        <v>0</v>
      </c>
      <c r="J307" s="186" t="n">
        <f aca="false">0</f>
        <v>0</v>
      </c>
      <c r="K307" s="186" t="n">
        <f aca="false">0</f>
        <v>0</v>
      </c>
      <c r="L307" s="186" t="n">
        <f aca="false">0</f>
        <v>0</v>
      </c>
      <c r="M307" s="186" t="n">
        <f aca="false">0</f>
        <v>0</v>
      </c>
      <c r="N307" s="187" t="n">
        <f aca="false">SUM(B307:M307)</f>
        <v>0</v>
      </c>
      <c r="O307" s="135" t="n">
        <f aca="false">SUM(B307:D307)</f>
        <v>0</v>
      </c>
      <c r="P307" s="135" t="n">
        <f aca="false">SUM(E307:G307)</f>
        <v>0</v>
      </c>
      <c r="Q307" s="135" t="n">
        <f aca="false">SUM(H307:J307)</f>
        <v>0</v>
      </c>
      <c r="R307" s="135" t="n">
        <f aca="false">SUM(K307:M307)</f>
        <v>0</v>
      </c>
      <c r="S307" s="188" t="n">
        <f aca="false">O307+P307+Q307+R307</f>
        <v>0</v>
      </c>
      <c r="T307" s="187" t="n">
        <v>0</v>
      </c>
      <c r="U307" s="187" t="n">
        <v>0</v>
      </c>
    </row>
    <row r="308" customFormat="false" ht="12.75" hidden="false" customHeight="false" outlineLevel="0" collapsed="false">
      <c r="A308" s="185" t="s">
        <v>144</v>
      </c>
      <c r="B308" s="190" t="n">
        <f aca="false">-10+10</f>
        <v>0</v>
      </c>
      <c r="C308" s="190" t="n">
        <f aca="false">-130-170+130+170</f>
        <v>0</v>
      </c>
      <c r="D308" s="190"/>
      <c r="E308" s="198"/>
      <c r="F308" s="198"/>
      <c r="G308" s="198"/>
      <c r="H308" s="198"/>
      <c r="I308" s="198"/>
      <c r="J308" s="198"/>
      <c r="K308" s="198"/>
      <c r="L308" s="198"/>
      <c r="M308" s="198"/>
      <c r="N308" s="199" t="n">
        <f aca="false">SUM(B308:M308)</f>
        <v>0</v>
      </c>
      <c r="O308" s="135" t="n">
        <f aca="false">SUM(B308:D308)</f>
        <v>0</v>
      </c>
      <c r="P308" s="135" t="n">
        <f aca="false">SUM(E308:G308)</f>
        <v>0</v>
      </c>
      <c r="Q308" s="135" t="n">
        <f aca="false">SUM(H308:J308)</f>
        <v>0</v>
      </c>
      <c r="R308" s="135" t="n">
        <f aca="false">SUM(K308:M308)</f>
        <v>0</v>
      </c>
      <c r="S308" s="188" t="n">
        <f aca="false">O308+P308+Q308+R308</f>
        <v>0</v>
      </c>
      <c r="T308" s="199" t="n">
        <v>0</v>
      </c>
      <c r="U308" s="199" t="n">
        <v>0</v>
      </c>
    </row>
    <row r="309" customFormat="false" ht="13.5" hidden="false" customHeight="false" outlineLevel="0" collapsed="false">
      <c r="A309" s="110" t="s">
        <v>145</v>
      </c>
      <c r="B309" s="200" t="n">
        <f aca="false">+B293-B302+SUM(B304:B308)</f>
        <v>18300</v>
      </c>
      <c r="C309" s="200" t="n">
        <f aca="false">+C293-C302+SUM(C304:C308)</f>
        <v>22567.635</v>
      </c>
      <c r="D309" s="200" t="n">
        <f aca="false">+D293-D302+SUM(D304:D308)</f>
        <v>9620.958</v>
      </c>
      <c r="E309" s="200" t="n">
        <f aca="false">+E293-E302+SUM(E304:E308)</f>
        <v>17476.1</v>
      </c>
      <c r="F309" s="200" t="n">
        <f aca="false">+F293-F302+SUM(F304:F308)</f>
        <v>18592.758</v>
      </c>
      <c r="G309" s="200" t="n">
        <f aca="false">+G293-G302+SUM(G304:G308)</f>
        <v>16808.44</v>
      </c>
      <c r="H309" s="200" t="n">
        <f aca="false">+H293-H302+SUM(H304:H308)</f>
        <v>17161.7</v>
      </c>
      <c r="I309" s="200" t="n">
        <f aca="false">+I293-I302+SUM(I304:I308)</f>
        <v>17128.78214</v>
      </c>
      <c r="J309" s="200" t="n">
        <f aca="false">+J293-J302+SUM(J304:J308)</f>
        <v>15138.912</v>
      </c>
      <c r="K309" s="200" t="n">
        <f aca="false">+K293-K302+SUM(K304:K308)</f>
        <v>15534.372296012</v>
      </c>
      <c r="L309" s="200" t="n">
        <f aca="false">+L293-L302+SUM(L304:L308)</f>
        <v>14521.30263762</v>
      </c>
      <c r="M309" s="200" t="n">
        <f aca="false">+M293-M302+SUM(M304:M308)</f>
        <v>15252.8065832868</v>
      </c>
      <c r="N309" s="201" t="n">
        <f aca="false">+N293-N302+SUM(N304:N308)</f>
        <v>198103.766656919</v>
      </c>
      <c r="O309" s="201" t="n">
        <f aca="false">+O293-O302+SUM(O304:O308)</f>
        <v>50488.593</v>
      </c>
      <c r="P309" s="201" t="n">
        <f aca="false">+P293-P302+SUM(P304:P308)</f>
        <v>52877.298</v>
      </c>
      <c r="Q309" s="201" t="n">
        <f aca="false">+Q293-Q302+SUM(Q304:Q308)</f>
        <v>49429.39414</v>
      </c>
      <c r="R309" s="201" t="n">
        <f aca="false">+R293-R302+SUM(R304:R308)</f>
        <v>45308.4815169188</v>
      </c>
      <c r="S309" s="201" t="n">
        <f aca="false">+S293-S302+SUM(S304:S308)</f>
        <v>198103.766656919</v>
      </c>
      <c r="T309" s="201" t="e">
        <f aca="false">+T293-T302+SUM(T304:T308)</f>
        <v>#REF!</v>
      </c>
      <c r="U309" s="201" t="e">
        <f aca="false">+U293-U302+SUM(U304:U308)</f>
        <v>#REF!</v>
      </c>
    </row>
    <row r="310" customFormat="false" ht="13.5" hidden="false" customHeight="false" outlineLevel="0" collapsed="false">
      <c r="A310" s="113"/>
      <c r="B310" s="202"/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  <c r="O310" s="202"/>
      <c r="P310" s="203"/>
      <c r="Q310" s="204"/>
      <c r="R310" s="204"/>
      <c r="S310" s="203"/>
      <c r="T310" s="202"/>
      <c r="U310" s="202"/>
    </row>
    <row r="311" customFormat="false" ht="12.75" hidden="false" customHeight="false" outlineLevel="0" collapsed="false">
      <c r="A311" s="185"/>
      <c r="B311" s="193"/>
      <c r="C311" s="193"/>
      <c r="D311" s="193"/>
      <c r="E311" s="193"/>
      <c r="F311" s="193"/>
      <c r="G311" s="193"/>
      <c r="H311" s="193"/>
      <c r="I311" s="193"/>
      <c r="J311" s="193"/>
      <c r="K311" s="193"/>
      <c r="L311" s="193"/>
      <c r="M311" s="193"/>
      <c r="N311" s="179"/>
      <c r="O311" s="179"/>
      <c r="P311" s="180"/>
      <c r="Q311" s="180"/>
      <c r="R311" s="180"/>
      <c r="S311" s="180"/>
      <c r="T311" s="179"/>
      <c r="U311" s="179"/>
    </row>
    <row r="312" customFormat="false" ht="12.75" hidden="false" customHeight="false" outlineLevel="0" collapsed="false">
      <c r="A312" s="181" t="s">
        <v>146</v>
      </c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3"/>
      <c r="O312" s="183"/>
      <c r="P312" s="184" t="s">
        <v>147</v>
      </c>
      <c r="Q312" s="184" t="str">
        <f aca="false">P312</f>
        <v>MONTH</v>
      </c>
      <c r="R312" s="184" t="str">
        <f aca="false">P312</f>
        <v>MONTH</v>
      </c>
      <c r="S312" s="184" t="s">
        <v>148</v>
      </c>
      <c r="T312" s="183"/>
      <c r="U312" s="183"/>
    </row>
    <row r="313" customFormat="false" ht="12.75" hidden="false" customHeight="false" outlineLevel="0" collapsed="false">
      <c r="A313" s="185" t="s">
        <v>149</v>
      </c>
      <c r="B313" s="186" t="n">
        <v>238</v>
      </c>
      <c r="C313" s="186" t="n">
        <v>175</v>
      </c>
      <c r="D313" s="186" t="n">
        <v>194.6</v>
      </c>
      <c r="E313" s="186" t="n">
        <f aca="false">+E110*E354*E$1*0.5</f>
        <v>218.078676</v>
      </c>
      <c r="F313" s="186" t="n">
        <v>168.7</v>
      </c>
      <c r="G313" s="186" t="n">
        <v>149</v>
      </c>
      <c r="H313" s="186" t="n">
        <f aca="false">+H110*H354*H$1*0.5</f>
        <v>204.42888</v>
      </c>
      <c r="I313" s="186" t="n">
        <f aca="false">+I110*I354*I$1*0.5</f>
        <v>205.68996</v>
      </c>
      <c r="J313" s="186" t="n">
        <f aca="false">+J110*J354*J$1*0.5</f>
        <v>192.2292</v>
      </c>
      <c r="K313" s="186" t="n">
        <f aca="false">+K110*K354*K$1*0.5</f>
        <v>180.7525278</v>
      </c>
      <c r="L313" s="186" t="n">
        <f aca="false">+L110*L354*L$1*0.5</f>
        <v>184.541958</v>
      </c>
      <c r="M313" s="186" t="n">
        <f aca="false">+M110*M354*M$1*0.5</f>
        <v>210.8271425832</v>
      </c>
      <c r="N313" s="179" t="n">
        <f aca="false">SUM(B313:M313)</f>
        <v>2321.8483443832</v>
      </c>
      <c r="O313" s="135" t="n">
        <f aca="false">SUM(B313:D313)</f>
        <v>607.6</v>
      </c>
      <c r="P313" s="135" t="n">
        <f aca="false">SUM(E313:G313)</f>
        <v>535.778676</v>
      </c>
      <c r="Q313" s="135" t="n">
        <f aca="false">SUM(H313:J313)</f>
        <v>602.34804</v>
      </c>
      <c r="R313" s="135" t="n">
        <f aca="false">SUM(K313:M313)</f>
        <v>576.1216283832</v>
      </c>
      <c r="S313" s="188" t="n">
        <f aca="false">O313+P313+Q313+R313</f>
        <v>2321.8483443832</v>
      </c>
      <c r="T313" s="179" t="n">
        <v>2211.4891644084</v>
      </c>
      <c r="U313" s="179" t="n">
        <v>2211.4891644084</v>
      </c>
    </row>
    <row r="314" customFormat="false" ht="12.75" hidden="false" customHeight="false" outlineLevel="0" collapsed="false">
      <c r="A314" s="185" t="s">
        <v>150</v>
      </c>
      <c r="B314" s="198" t="n">
        <v>97</v>
      </c>
      <c r="C314" s="198" t="n">
        <v>97</v>
      </c>
      <c r="D314" s="198" t="n">
        <v>678.1</v>
      </c>
      <c r="E314" s="198" t="n">
        <v>0</v>
      </c>
      <c r="F314" s="198" t="n">
        <v>0</v>
      </c>
      <c r="G314" s="198" t="n">
        <v>0</v>
      </c>
      <c r="H314" s="198" t="n">
        <v>0</v>
      </c>
      <c r="I314" s="198" t="n">
        <v>0</v>
      </c>
      <c r="J314" s="198" t="n">
        <v>0</v>
      </c>
      <c r="K314" s="198" t="n">
        <v>100</v>
      </c>
      <c r="L314" s="198" t="n">
        <v>100</v>
      </c>
      <c r="M314" s="198" t="n">
        <v>100</v>
      </c>
      <c r="N314" s="205" t="n">
        <f aca="false">SUM(B314:M314)</f>
        <v>1172.1</v>
      </c>
      <c r="O314" s="135" t="n">
        <f aca="false">SUM(B314:D314)</f>
        <v>872.1</v>
      </c>
      <c r="P314" s="138" t="n">
        <f aca="false">SUM(E314:G314)</f>
        <v>0</v>
      </c>
      <c r="Q314" s="135" t="n">
        <f aca="false">SUM(H314:J314)</f>
        <v>0</v>
      </c>
      <c r="R314" s="135" t="n">
        <f aca="false">SUM(K314:M314)</f>
        <v>300</v>
      </c>
      <c r="S314" s="188" t="n">
        <f aca="false">O314+P314+Q314+R314</f>
        <v>1172.1</v>
      </c>
      <c r="T314" s="205" t="n">
        <v>1351.4656004718</v>
      </c>
      <c r="U314" s="205" t="n">
        <v>1351.4656004718</v>
      </c>
    </row>
    <row r="315" customFormat="false" ht="12.75" hidden="false" customHeight="false" outlineLevel="0" collapsed="false">
      <c r="A315" s="110" t="s">
        <v>151</v>
      </c>
      <c r="B315" s="206" t="n">
        <f aca="false">SUM(B313:B314)</f>
        <v>335</v>
      </c>
      <c r="C315" s="206" t="n">
        <f aca="false">SUM(C313:C314)</f>
        <v>272</v>
      </c>
      <c r="D315" s="206" t="n">
        <f aca="false">SUM(D313:D314)</f>
        <v>872.7</v>
      </c>
      <c r="E315" s="206" t="n">
        <f aca="false">SUM(E313:E314)</f>
        <v>218.078676</v>
      </c>
      <c r="F315" s="206" t="n">
        <f aca="false">SUM(F313:F314)</f>
        <v>168.7</v>
      </c>
      <c r="G315" s="206" t="n">
        <f aca="false">SUM(G313:G314)</f>
        <v>149</v>
      </c>
      <c r="H315" s="206" t="n">
        <f aca="false">SUM(H313:H314)</f>
        <v>204.42888</v>
      </c>
      <c r="I315" s="206" t="n">
        <f aca="false">SUM(I313:I314)</f>
        <v>205.68996</v>
      </c>
      <c r="J315" s="206" t="n">
        <f aca="false">SUM(J313:J314)</f>
        <v>192.2292</v>
      </c>
      <c r="K315" s="206" t="n">
        <f aca="false">SUM(K313:K314)</f>
        <v>280.7525278</v>
      </c>
      <c r="L315" s="206" t="n">
        <f aca="false">SUM(L313:L314)</f>
        <v>284.541958</v>
      </c>
      <c r="M315" s="206" t="n">
        <f aca="false">SUM(M313:M314)</f>
        <v>310.8271425832</v>
      </c>
      <c r="N315" s="207" t="n">
        <f aca="false">SUM(N313:N314)</f>
        <v>3493.9483443832</v>
      </c>
      <c r="O315" s="207" t="n">
        <f aca="false">SUM(O313:O314)</f>
        <v>1479.7</v>
      </c>
      <c r="P315" s="207" t="n">
        <f aca="false">SUM(P313:P314)</f>
        <v>535.778676</v>
      </c>
      <c r="Q315" s="207" t="n">
        <f aca="false">SUM(Q313:Q314)</f>
        <v>602.34804</v>
      </c>
      <c r="R315" s="207" t="n">
        <f aca="false">SUM(R313:R314)</f>
        <v>876.1216283832</v>
      </c>
      <c r="S315" s="188" t="n">
        <f aca="false">O315+P315+Q315+R315</f>
        <v>3493.9483443832</v>
      </c>
      <c r="T315" s="207" t="n">
        <f aca="false">SUM(T313:T314)</f>
        <v>3562.9547648802</v>
      </c>
      <c r="U315" s="207" t="n">
        <f aca="false">SUM(U313:U314)</f>
        <v>3562.9547648802</v>
      </c>
    </row>
    <row r="316" customFormat="false" ht="12.75" hidden="false" customHeight="false" outlineLevel="0" collapsed="false">
      <c r="A316" s="110" t="s">
        <v>152</v>
      </c>
      <c r="B316" s="208" t="n">
        <f aca="false">+B292</f>
        <v>1304</v>
      </c>
      <c r="C316" s="208" t="n">
        <f aca="false">+C292</f>
        <v>1258</v>
      </c>
      <c r="D316" s="208" t="n">
        <f aca="false">+D292</f>
        <v>1285.2</v>
      </c>
      <c r="E316" s="208" t="n">
        <f aca="false">+E292</f>
        <v>2727.4</v>
      </c>
      <c r="F316" s="208" t="n">
        <f aca="false">+F292</f>
        <v>3688.4</v>
      </c>
      <c r="G316" s="208" t="n">
        <f aca="false">+G292</f>
        <v>2163.5</v>
      </c>
      <c r="H316" s="208" t="n">
        <f aca="false">+H292</f>
        <v>1563.4</v>
      </c>
      <c r="I316" s="208" t="n">
        <f aca="false">+I292</f>
        <v>1670.11</v>
      </c>
      <c r="J316" s="208" t="n">
        <f aca="false">+J292</f>
        <v>1068.4</v>
      </c>
      <c r="K316" s="208" t="n">
        <f aca="false">+K292</f>
        <v>1049.59864985</v>
      </c>
      <c r="L316" s="208" t="n">
        <f aca="false">+L292</f>
        <v>1034.7710305</v>
      </c>
      <c r="M316" s="208" t="n">
        <f aca="false">+M292</f>
        <v>1103.6664841066</v>
      </c>
      <c r="N316" s="209" t="n">
        <f aca="false">+N292</f>
        <v>19916.4461644566</v>
      </c>
      <c r="O316" s="209" t="n">
        <f aca="false">+O292</f>
        <v>3847.2</v>
      </c>
      <c r="P316" s="209" t="n">
        <f aca="false">+P292</f>
        <v>8579.3</v>
      </c>
      <c r="Q316" s="209" t="n">
        <f aca="false">+Q292</f>
        <v>4301.91</v>
      </c>
      <c r="R316" s="209" t="n">
        <f aca="false">+R292</f>
        <v>3188.0361644566</v>
      </c>
      <c r="S316" s="188" t="n">
        <f aca="false">O316+P316+Q316+R316</f>
        <v>19916.4461644566</v>
      </c>
      <c r="T316" s="209" t="n">
        <f aca="false">+T292</f>
        <v>13351.2892363077</v>
      </c>
      <c r="U316" s="209" t="n">
        <f aca="false">+U292</f>
        <v>16080.1722363077</v>
      </c>
    </row>
    <row r="317" customFormat="false" ht="12.75" hidden="false" customHeight="false" outlineLevel="0" collapsed="false">
      <c r="A317" s="110" t="s">
        <v>153</v>
      </c>
      <c r="B317" s="208" t="n">
        <f aca="false">+B316-B315</f>
        <v>969</v>
      </c>
      <c r="C317" s="208" t="n">
        <f aca="false">+C316-C315</f>
        <v>986</v>
      </c>
      <c r="D317" s="208" t="n">
        <f aca="false">+D316-D315</f>
        <v>412.5</v>
      </c>
      <c r="E317" s="208" t="n">
        <f aca="false">+E316-E315</f>
        <v>2509.321324</v>
      </c>
      <c r="F317" s="208" t="n">
        <f aca="false">+F316-F315</f>
        <v>3519.7</v>
      </c>
      <c r="G317" s="208" t="n">
        <f aca="false">+G316-G315</f>
        <v>2014.5</v>
      </c>
      <c r="H317" s="208" t="n">
        <f aca="false">+H316-H315</f>
        <v>1358.97112</v>
      </c>
      <c r="I317" s="208" t="n">
        <f aca="false">+I316-I315</f>
        <v>1464.42004</v>
      </c>
      <c r="J317" s="208" t="n">
        <f aca="false">+J316-J315</f>
        <v>876.1708</v>
      </c>
      <c r="K317" s="208" t="n">
        <f aca="false">+K316-K315</f>
        <v>768.84612205</v>
      </c>
      <c r="L317" s="208" t="n">
        <f aca="false">+L316-L315</f>
        <v>750.2290725</v>
      </c>
      <c r="M317" s="208" t="n">
        <f aca="false">+M316-M315</f>
        <v>792.8393415234</v>
      </c>
      <c r="N317" s="209" t="n">
        <f aca="false">+N316-N315</f>
        <v>16422.4978200734</v>
      </c>
      <c r="O317" s="209" t="n">
        <f aca="false">+O316-O315</f>
        <v>2367.5</v>
      </c>
      <c r="P317" s="209" t="n">
        <f aca="false">+P316-P315</f>
        <v>8043.521324</v>
      </c>
      <c r="Q317" s="209" t="n">
        <f aca="false">+Q316-Q315</f>
        <v>3699.56196</v>
      </c>
      <c r="R317" s="209" t="n">
        <f aca="false">+R316-R315</f>
        <v>2311.9145360734</v>
      </c>
      <c r="S317" s="188" t="n">
        <f aca="false">O317+P317+Q317+R317</f>
        <v>16422.4978200734</v>
      </c>
      <c r="T317" s="209" t="n">
        <f aca="false">+T316-T315</f>
        <v>9788.3344714275</v>
      </c>
      <c r="U317" s="209" t="n">
        <f aca="false">+U316-U315</f>
        <v>12517.2174714275</v>
      </c>
    </row>
    <row r="318" customFormat="false" ht="12.75" hidden="false" customHeight="false" outlineLevel="0" collapsed="false">
      <c r="A318" s="210"/>
      <c r="B318" s="211"/>
      <c r="C318" s="211"/>
      <c r="D318" s="211"/>
      <c r="E318" s="211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188"/>
      <c r="Q318" s="195"/>
      <c r="R318" s="195"/>
      <c r="S318" s="188"/>
      <c r="T318" s="211"/>
      <c r="U318" s="211"/>
    </row>
    <row r="319" customFormat="false" ht="12.75" hidden="false" customHeight="false" outlineLevel="0" collapsed="false">
      <c r="A319" s="185"/>
      <c r="B319" s="64"/>
      <c r="C319" s="64"/>
      <c r="D319" s="64"/>
      <c r="E319" s="64"/>
      <c r="F319" s="64"/>
      <c r="G319" s="64"/>
      <c r="H319" s="62"/>
      <c r="I319" s="62"/>
      <c r="J319" s="62"/>
      <c r="K319" s="62"/>
      <c r="L319" s="62"/>
      <c r="M319" s="62"/>
      <c r="N319" s="179"/>
      <c r="O319" s="179"/>
      <c r="P319" s="188"/>
      <c r="Q319" s="195"/>
      <c r="R319" s="195"/>
      <c r="S319" s="188"/>
      <c r="T319" s="179"/>
      <c r="U319" s="179"/>
    </row>
    <row r="320" customFormat="false" ht="12.75" hidden="false" customHeight="false" outlineLevel="0" collapsed="false">
      <c r="A320" s="212" t="s">
        <v>154</v>
      </c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60"/>
      <c r="O320" s="60"/>
      <c r="P320" s="188"/>
      <c r="Q320" s="195"/>
      <c r="R320" s="195"/>
      <c r="S320" s="188"/>
      <c r="T320" s="60"/>
      <c r="U320" s="60"/>
      <c r="W320" s="0"/>
      <c r="X320" s="0"/>
      <c r="Y320" s="0"/>
    </row>
    <row r="321" customFormat="false" ht="12.75" hidden="false" customHeight="false" outlineLevel="0" collapsed="false">
      <c r="A321" s="185" t="s">
        <v>155</v>
      </c>
      <c r="B321" s="96" t="n">
        <f aca="false">+B189</f>
        <v>322</v>
      </c>
      <c r="C321" s="96" t="n">
        <f aca="false">+C189</f>
        <v>403</v>
      </c>
      <c r="D321" s="96" t="n">
        <f aca="false">+D189</f>
        <v>412</v>
      </c>
      <c r="E321" s="96" t="n">
        <f aca="false">+E189</f>
        <v>361.6</v>
      </c>
      <c r="F321" s="96" t="n">
        <f aca="false">+F189</f>
        <v>593.1</v>
      </c>
      <c r="G321" s="96" t="n">
        <f aca="false">+G189</f>
        <v>537</v>
      </c>
      <c r="H321" s="96" t="n">
        <f aca="false">+H189</f>
        <v>537</v>
      </c>
      <c r="I321" s="96" t="n">
        <f aca="false">+I189</f>
        <v>537.73</v>
      </c>
      <c r="J321" s="96" t="n">
        <f aca="false">+J189</f>
        <v>342.195</v>
      </c>
      <c r="K321" s="96" t="n">
        <f aca="false">+K189</f>
        <v>353.6015</v>
      </c>
      <c r="L321" s="96" t="n">
        <f aca="false">+L189</f>
        <v>0</v>
      </c>
      <c r="M321" s="96" t="n">
        <f aca="false">+M189</f>
        <v>0</v>
      </c>
      <c r="N321" s="179" t="n">
        <f aca="false">SUM(B321:M321)</f>
        <v>4399.2265</v>
      </c>
      <c r="O321" s="135" t="n">
        <f aca="false">SUM(B321:D321)</f>
        <v>1137</v>
      </c>
      <c r="P321" s="135" t="n">
        <f aca="false">SUM(E321:G321)</f>
        <v>1491.7</v>
      </c>
      <c r="Q321" s="135" t="n">
        <f aca="false">SUM(H321:J321)</f>
        <v>1416.925</v>
      </c>
      <c r="R321" s="135" t="n">
        <f aca="false">SUM(K321:M321)</f>
        <v>353.6015</v>
      </c>
      <c r="S321" s="188" t="n">
        <f aca="false">O321+P321+Q321+R321</f>
        <v>4399.2265</v>
      </c>
      <c r="T321" s="179"/>
      <c r="U321" s="179"/>
    </row>
    <row r="322" customFormat="false" ht="12.75" hidden="false" customHeight="false" outlineLevel="0" collapsed="false">
      <c r="A322" s="185" t="s">
        <v>156</v>
      </c>
      <c r="B322" s="99" t="n">
        <f aca="false">+B197</f>
        <v>771.3</v>
      </c>
      <c r="C322" s="99" t="n">
        <f aca="false">+C197</f>
        <v>665</v>
      </c>
      <c r="D322" s="99" t="n">
        <f aca="false">+D197</f>
        <v>737.6</v>
      </c>
      <c r="E322" s="99" t="n">
        <f aca="false">+E197</f>
        <v>713.1</v>
      </c>
      <c r="F322" s="99" t="n">
        <f aca="false">+F197</f>
        <v>736.9</v>
      </c>
      <c r="G322" s="99" t="n">
        <f aca="false">+G197</f>
        <v>715.2</v>
      </c>
      <c r="H322" s="99" t="n">
        <f aca="false">+H197</f>
        <v>736.9</v>
      </c>
      <c r="I322" s="99" t="n">
        <f aca="false">+I197</f>
        <v>650.7</v>
      </c>
      <c r="J322" s="99" t="n">
        <f aca="false">+J197</f>
        <v>629.748</v>
      </c>
      <c r="K322" s="99" t="n">
        <f aca="false">+K197</f>
        <v>650.7396</v>
      </c>
      <c r="L322" s="99" t="n">
        <f aca="false">+L197</f>
        <v>0</v>
      </c>
      <c r="M322" s="99" t="n">
        <f aca="false">+M197</f>
        <v>0</v>
      </c>
      <c r="N322" s="205" t="n">
        <f aca="false">SUM(B322:M322)</f>
        <v>7007.1876</v>
      </c>
      <c r="O322" s="135" t="n">
        <f aca="false">SUM(B322:D322)</f>
        <v>2173.9</v>
      </c>
      <c r="P322" s="135" t="n">
        <f aca="false">SUM(E322:G322)</f>
        <v>2165.2</v>
      </c>
      <c r="Q322" s="135" t="n">
        <f aca="false">SUM(H322:J322)</f>
        <v>2017.348</v>
      </c>
      <c r="R322" s="135" t="n">
        <f aca="false">SUM(K322:M322)</f>
        <v>650.7396</v>
      </c>
      <c r="S322" s="188" t="n">
        <f aca="false">O322+P322+Q322+R322</f>
        <v>7007.1876</v>
      </c>
      <c r="T322" s="205"/>
      <c r="U322" s="205"/>
    </row>
    <row r="323" customFormat="false" ht="12.75" hidden="false" customHeight="false" outlineLevel="0" collapsed="false">
      <c r="A323" s="110" t="s">
        <v>157</v>
      </c>
      <c r="B323" s="214" t="n">
        <f aca="false">SUM(B321:B322)</f>
        <v>1093.3</v>
      </c>
      <c r="C323" s="214" t="n">
        <f aca="false">SUM(C321:C322)</f>
        <v>1068</v>
      </c>
      <c r="D323" s="214" t="n">
        <f aca="false">SUM(D321:D322)</f>
        <v>1149.6</v>
      </c>
      <c r="E323" s="214" t="n">
        <f aca="false">SUM(E321:E322)</f>
        <v>1074.7</v>
      </c>
      <c r="F323" s="214" t="n">
        <f aca="false">SUM(F321:F322)</f>
        <v>1330</v>
      </c>
      <c r="G323" s="214" t="n">
        <f aca="false">SUM(G321:G322)</f>
        <v>1252.2</v>
      </c>
      <c r="H323" s="214" t="n">
        <f aca="false">SUM(H321:H322)</f>
        <v>1273.9</v>
      </c>
      <c r="I323" s="214" t="n">
        <f aca="false">SUM(I321:I322)</f>
        <v>1188.43</v>
      </c>
      <c r="J323" s="214" t="n">
        <f aca="false">SUM(J321:J322)</f>
        <v>971.943</v>
      </c>
      <c r="K323" s="214" t="n">
        <f aca="false">SUM(K321:K322)</f>
        <v>1004.3411</v>
      </c>
      <c r="L323" s="214" t="n">
        <f aca="false">SUM(L321:L322)</f>
        <v>0</v>
      </c>
      <c r="M323" s="214" t="n">
        <f aca="false">SUM(M321:M322)</f>
        <v>0</v>
      </c>
      <c r="N323" s="215" t="n">
        <f aca="false">SUM(N321:N322)</f>
        <v>11406.4141</v>
      </c>
      <c r="O323" s="215" t="n">
        <f aca="false">SUM(O321:O322)</f>
        <v>3310.9</v>
      </c>
      <c r="P323" s="215" t="n">
        <f aca="false">SUM(P321:P322)</f>
        <v>3656.9</v>
      </c>
      <c r="Q323" s="215" t="n">
        <f aca="false">SUM(Q321:Q322)</f>
        <v>3434.273</v>
      </c>
      <c r="R323" s="215" t="n">
        <f aca="false">SUM(R321:R322)</f>
        <v>1004.3411</v>
      </c>
      <c r="S323" s="215" t="n">
        <f aca="false">SUM(S321:S322)</f>
        <v>11406.4141</v>
      </c>
      <c r="T323" s="215" t="n">
        <f aca="false">SUM(T321:T322)</f>
        <v>0</v>
      </c>
      <c r="U323" s="215" t="n">
        <f aca="false">SUM(U321:U322)</f>
        <v>0</v>
      </c>
    </row>
    <row r="324" customFormat="false" ht="12.75" hidden="false" customHeight="false" outlineLevel="0" collapsed="false">
      <c r="A324" s="113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188"/>
      <c r="Q324" s="195"/>
      <c r="R324" s="195"/>
      <c r="S324" s="188"/>
      <c r="T324" s="216"/>
      <c r="U324" s="216"/>
    </row>
    <row r="325" customFormat="false" ht="12.75" hidden="false" customHeight="false" outlineLevel="0" collapsed="false">
      <c r="A325" s="181" t="s">
        <v>158</v>
      </c>
      <c r="B325" s="64"/>
      <c r="C325" s="64"/>
      <c r="D325" s="64"/>
      <c r="E325" s="64"/>
      <c r="F325" s="64"/>
      <c r="G325" s="64"/>
      <c r="H325" s="62"/>
      <c r="I325" s="62"/>
      <c r="J325" s="62"/>
      <c r="K325" s="62"/>
      <c r="L325" s="62"/>
      <c r="M325" s="62"/>
      <c r="N325" s="179"/>
      <c r="O325" s="179"/>
      <c r="P325" s="188"/>
      <c r="Q325" s="195"/>
      <c r="R325" s="195"/>
      <c r="S325" s="188"/>
      <c r="T325" s="179"/>
      <c r="U325" s="179"/>
    </row>
    <row r="326" customFormat="false" ht="12.75" hidden="false" customHeight="false" outlineLevel="0" collapsed="false">
      <c r="A326" s="175" t="s">
        <v>159</v>
      </c>
      <c r="B326" s="217"/>
      <c r="C326" s="217"/>
      <c r="D326" s="217"/>
      <c r="E326" s="217"/>
      <c r="F326" s="217"/>
      <c r="G326" s="217"/>
      <c r="H326" s="218"/>
      <c r="I326" s="218"/>
      <c r="J326" s="218"/>
      <c r="K326" s="218"/>
      <c r="L326" s="218"/>
      <c r="M326" s="218"/>
      <c r="N326" s="179"/>
      <c r="O326" s="179"/>
      <c r="P326" s="188"/>
      <c r="Q326" s="195"/>
      <c r="R326" s="195"/>
      <c r="S326" s="188"/>
      <c r="T326" s="179"/>
      <c r="U326" s="179"/>
    </row>
    <row r="327" customFormat="false" ht="12.75" hidden="false" customHeight="false" outlineLevel="0" collapsed="false">
      <c r="A327" s="185" t="s">
        <v>160</v>
      </c>
      <c r="B327" s="186" t="n">
        <v>0</v>
      </c>
      <c r="C327" s="186" t="n">
        <v>0</v>
      </c>
      <c r="D327" s="186" t="n">
        <v>0</v>
      </c>
      <c r="E327" s="186" t="n">
        <v>0</v>
      </c>
      <c r="F327" s="186" t="n">
        <v>0</v>
      </c>
      <c r="G327" s="186" t="n">
        <v>0</v>
      </c>
      <c r="H327" s="186" t="n">
        <v>0</v>
      </c>
      <c r="I327" s="186" t="n">
        <v>0</v>
      </c>
      <c r="J327" s="186" t="n">
        <v>0</v>
      </c>
      <c r="K327" s="186" t="n">
        <v>0</v>
      </c>
      <c r="L327" s="186" t="n">
        <v>0</v>
      </c>
      <c r="M327" s="186" t="n">
        <v>0</v>
      </c>
      <c r="N327" s="219" t="n">
        <v>0</v>
      </c>
      <c r="O327" s="219"/>
      <c r="P327" s="220"/>
      <c r="Q327" s="221"/>
      <c r="R327" s="221"/>
      <c r="S327" s="220" t="e">
        <f aca="false"/>
        <v>#REF!</v>
      </c>
      <c r="T327" s="219" t="n">
        <v>0</v>
      </c>
      <c r="U327" s="219" t="n">
        <v>0</v>
      </c>
    </row>
    <row r="328" customFormat="false" ht="12.75" hidden="false" customHeight="false" outlineLevel="0" collapsed="false">
      <c r="A328" s="185" t="s">
        <v>161</v>
      </c>
      <c r="B328" s="186" t="n">
        <f aca="false">Detail!N556/1000</f>
        <v>1.86</v>
      </c>
      <c r="C328" s="186" t="n">
        <f aca="false">Detail!O556/1000</f>
        <v>1.68</v>
      </c>
      <c r="D328" s="186" t="n">
        <f aca="false">Detail!P556/1000</f>
        <v>1.86</v>
      </c>
      <c r="E328" s="186" t="n">
        <f aca="false">Detail!Q556/1000</f>
        <v>1.8</v>
      </c>
      <c r="F328" s="186" t="n">
        <f aca="false">Detail!R556/1000</f>
        <v>0.93</v>
      </c>
      <c r="G328" s="186" t="n">
        <f aca="false">Detail!S556/1000</f>
        <v>0.9</v>
      </c>
      <c r="H328" s="186" t="n">
        <f aca="false">Detail!T556/1000</f>
        <v>0.93</v>
      </c>
      <c r="I328" s="186" t="n">
        <f aca="false">Detail!U556/1000</f>
        <v>0.93</v>
      </c>
      <c r="J328" s="186" t="n">
        <f aca="false">Detail!V556/1000</f>
        <v>0.9</v>
      </c>
      <c r="K328" s="186" t="n">
        <f aca="false">Detail!W556/1000</f>
        <v>1.86</v>
      </c>
      <c r="L328" s="186" t="n">
        <f aca="false">Detail!X556/1000</f>
        <v>1.8</v>
      </c>
      <c r="M328" s="186" t="n">
        <f aca="false">Detail!Y556/1000</f>
        <v>1.86</v>
      </c>
      <c r="N328" s="219" t="n">
        <f aca="false">SUM(B328:M328)</f>
        <v>17.31</v>
      </c>
      <c r="O328" s="219"/>
      <c r="P328" s="220"/>
      <c r="Q328" s="221"/>
      <c r="R328" s="221"/>
      <c r="S328" s="220" t="e">
        <f aca="false"/>
        <v>#REF!</v>
      </c>
      <c r="T328" s="219" t="n">
        <v>17.31</v>
      </c>
      <c r="U328" s="219" t="n">
        <v>17.31</v>
      </c>
    </row>
    <row r="329" customFormat="false" ht="12.75" hidden="false" customHeight="false" outlineLevel="0" collapsed="false">
      <c r="A329" s="185" t="s">
        <v>162</v>
      </c>
      <c r="B329" s="186" t="n">
        <f aca="false">Detail!N590/1000</f>
        <v>2.48</v>
      </c>
      <c r="C329" s="186" t="n">
        <f aca="false">Detail!O590/1000</f>
        <v>2.24</v>
      </c>
      <c r="D329" s="186" t="n">
        <f aca="false">Detail!P590/1000</f>
        <v>2.48</v>
      </c>
      <c r="E329" s="186" t="n">
        <f aca="false">Detail!Q590/1000</f>
        <v>2.4</v>
      </c>
      <c r="F329" s="186" t="n">
        <f aca="false">Detail!R590/1000</f>
        <v>2.48</v>
      </c>
      <c r="G329" s="186" t="n">
        <f aca="false">Detail!S590/1000</f>
        <v>2.4</v>
      </c>
      <c r="H329" s="186" t="n">
        <f aca="false">Detail!T590/1000</f>
        <v>2.48</v>
      </c>
      <c r="I329" s="186" t="n">
        <f aca="false">Detail!U590/1000</f>
        <v>2.48</v>
      </c>
      <c r="J329" s="186" t="n">
        <f aca="false">Detail!V590/1000</f>
        <v>2.4</v>
      </c>
      <c r="K329" s="186" t="n">
        <f aca="false">Detail!W590/1000</f>
        <v>2.48</v>
      </c>
      <c r="L329" s="186" t="n">
        <f aca="false">Detail!X590/1000</f>
        <v>2.4</v>
      </c>
      <c r="M329" s="186" t="n">
        <f aca="false">Detail!Y590/1000</f>
        <v>2.48</v>
      </c>
      <c r="N329" s="219" t="n">
        <f aca="false">SUM(B329:M329)</f>
        <v>29.2</v>
      </c>
      <c r="O329" s="219"/>
      <c r="P329" s="220"/>
      <c r="Q329" s="221"/>
      <c r="R329" s="221"/>
      <c r="S329" s="220" t="e">
        <f aca="false"/>
        <v>#REF!</v>
      </c>
      <c r="T329" s="219" t="n">
        <v>29.2</v>
      </c>
      <c r="U329" s="219" t="n">
        <v>29.2</v>
      </c>
    </row>
    <row r="330" customFormat="false" ht="12.75" hidden="false" customHeight="false" outlineLevel="0" collapsed="false">
      <c r="A330" s="185" t="s">
        <v>163</v>
      </c>
      <c r="B330" s="186" t="n">
        <f aca="false">Detail!N623/1000</f>
        <v>1.86</v>
      </c>
      <c r="C330" s="186" t="n">
        <f aca="false">Detail!O623/1000</f>
        <v>1.68</v>
      </c>
      <c r="D330" s="186" t="n">
        <f aca="false">Detail!P623/1000</f>
        <v>1.86</v>
      </c>
      <c r="E330" s="186" t="n">
        <f aca="false">Detail!Q623/1000</f>
        <v>1.8</v>
      </c>
      <c r="F330" s="186" t="n">
        <f aca="false">Detail!R623/1000</f>
        <v>1.86</v>
      </c>
      <c r="G330" s="186" t="n">
        <f aca="false">Detail!S623/1000</f>
        <v>1.8</v>
      </c>
      <c r="H330" s="186" t="n">
        <f aca="false">Detail!T623/1000</f>
        <v>1.86</v>
      </c>
      <c r="I330" s="186" t="n">
        <f aca="false">Detail!U623/1000</f>
        <v>1.86</v>
      </c>
      <c r="J330" s="186" t="n">
        <f aca="false">Detail!V623/1000</f>
        <v>1.8</v>
      </c>
      <c r="K330" s="186" t="n">
        <f aca="false">Detail!W623/1000</f>
        <v>1.86</v>
      </c>
      <c r="L330" s="186" t="n">
        <f aca="false">Detail!X623/1000</f>
        <v>1.8</v>
      </c>
      <c r="M330" s="186" t="n">
        <f aca="false">Detail!Y623/1000</f>
        <v>0</v>
      </c>
      <c r="N330" s="219" t="n">
        <f aca="false">SUM(B330:M330)</f>
        <v>20.04</v>
      </c>
      <c r="O330" s="219"/>
      <c r="P330" s="220"/>
      <c r="Q330" s="221"/>
      <c r="R330" s="221"/>
      <c r="S330" s="220" t="e">
        <f aca="false"/>
        <v>#REF!</v>
      </c>
      <c r="T330" s="219" t="n">
        <v>20.04</v>
      </c>
      <c r="U330" s="219" t="n">
        <v>20.04</v>
      </c>
    </row>
    <row r="331" customFormat="false" ht="12.75" hidden="false" customHeight="false" outlineLevel="0" collapsed="false">
      <c r="A331" s="185" t="s">
        <v>164</v>
      </c>
      <c r="B331" s="186"/>
      <c r="C331" s="186" t="n">
        <v>0</v>
      </c>
      <c r="D331" s="186" t="n">
        <v>0</v>
      </c>
      <c r="E331" s="186" t="n">
        <v>0</v>
      </c>
      <c r="F331" s="186" t="n">
        <v>0</v>
      </c>
      <c r="G331" s="186" t="n">
        <v>0</v>
      </c>
      <c r="H331" s="186" t="n">
        <v>0</v>
      </c>
      <c r="I331" s="186" t="n">
        <v>0</v>
      </c>
      <c r="J331" s="186" t="n">
        <v>0</v>
      </c>
      <c r="K331" s="186" t="n">
        <v>0</v>
      </c>
      <c r="L331" s="186" t="n">
        <v>0</v>
      </c>
      <c r="M331" s="186" t="n">
        <v>0</v>
      </c>
      <c r="N331" s="219" t="n">
        <f aca="false">SUM(B331:M331)</f>
        <v>0</v>
      </c>
      <c r="O331" s="219"/>
      <c r="P331" s="220"/>
      <c r="Q331" s="221"/>
      <c r="R331" s="221"/>
      <c r="S331" s="220" t="e">
        <f aca="false"/>
        <v>#REF!</v>
      </c>
      <c r="T331" s="219" t="n">
        <v>0</v>
      </c>
      <c r="U331" s="219" t="n">
        <v>0</v>
      </c>
    </row>
    <row r="332" customFormat="false" ht="12.75" hidden="false" customHeight="false" outlineLevel="0" collapsed="false">
      <c r="A332" s="185" t="s">
        <v>165</v>
      </c>
      <c r="B332" s="186"/>
      <c r="C332" s="186" t="n">
        <v>0</v>
      </c>
      <c r="D332" s="186" t="n">
        <v>0</v>
      </c>
      <c r="E332" s="186" t="n">
        <v>0</v>
      </c>
      <c r="F332" s="186" t="n">
        <v>0</v>
      </c>
      <c r="G332" s="186" t="n">
        <v>0</v>
      </c>
      <c r="H332" s="186" t="n">
        <v>0</v>
      </c>
      <c r="I332" s="186" t="n">
        <v>0</v>
      </c>
      <c r="J332" s="186" t="n">
        <v>0</v>
      </c>
      <c r="K332" s="186" t="n">
        <v>0</v>
      </c>
      <c r="L332" s="186" t="n">
        <v>0</v>
      </c>
      <c r="M332" s="186" t="n">
        <v>0</v>
      </c>
      <c r="N332" s="219" t="n">
        <f aca="false">SUM(B332:M332)</f>
        <v>0</v>
      </c>
      <c r="O332" s="219"/>
      <c r="P332" s="220"/>
      <c r="Q332" s="221"/>
      <c r="R332" s="221"/>
      <c r="S332" s="220" t="e">
        <f aca="false"/>
        <v>#REF!</v>
      </c>
      <c r="T332" s="219" t="n">
        <v>0</v>
      </c>
      <c r="U332" s="219" t="n">
        <v>0</v>
      </c>
    </row>
    <row r="333" customFormat="false" ht="12.75" hidden="false" customHeight="false" outlineLevel="0" collapsed="false">
      <c r="A333" s="185" t="s">
        <v>166</v>
      </c>
      <c r="B333" s="186" t="n">
        <f aca="false">Detail!N186/1000</f>
        <v>21.7</v>
      </c>
      <c r="C333" s="186" t="n">
        <f aca="false">Detail!O186/1000</f>
        <v>19.6</v>
      </c>
      <c r="D333" s="186" t="n">
        <f aca="false">Detail!P186/1000</f>
        <v>21.7</v>
      </c>
      <c r="E333" s="186" t="n">
        <f aca="false">Detail!Q186/1000</f>
        <v>21</v>
      </c>
      <c r="F333" s="186" t="n">
        <f aca="false">Detail!R186/1000</f>
        <v>21.7</v>
      </c>
      <c r="G333" s="186" t="n">
        <f aca="false">Detail!S186/1000</f>
        <v>21</v>
      </c>
      <c r="H333" s="186" t="n">
        <f aca="false">Detail!T186/1000</f>
        <v>21.7</v>
      </c>
      <c r="I333" s="186" t="n">
        <f aca="false">Detail!U186/1000</f>
        <v>21.7</v>
      </c>
      <c r="J333" s="186" t="n">
        <f aca="false">Detail!V186/1000</f>
        <v>21</v>
      </c>
      <c r="K333" s="186" t="n">
        <f aca="false">Detail!W186/1000</f>
        <v>21.7</v>
      </c>
      <c r="L333" s="186" t="n">
        <f aca="false">Detail!X186/1000</f>
        <v>21</v>
      </c>
      <c r="M333" s="186" t="n">
        <f aca="false">Detail!Y186/1000</f>
        <v>21.7</v>
      </c>
      <c r="N333" s="219" t="n">
        <f aca="false">SUM(B333:M333)</f>
        <v>255.5</v>
      </c>
      <c r="O333" s="219"/>
      <c r="P333" s="220"/>
      <c r="Q333" s="220"/>
      <c r="R333" s="220"/>
      <c r="S333" s="220" t="e">
        <f aca="false"/>
        <v>#REF!</v>
      </c>
      <c r="T333" s="219" t="n">
        <v>255.5</v>
      </c>
      <c r="U333" s="219" t="n">
        <v>255.5</v>
      </c>
      <c r="W333" s="64"/>
      <c r="X333" s="64"/>
      <c r="Y333" s="64"/>
      <c r="Z333" s="64"/>
      <c r="AA333" s="64"/>
      <c r="AB333" s="64"/>
    </row>
    <row r="334" customFormat="false" ht="12.75" hidden="false" customHeight="false" outlineLevel="0" collapsed="false">
      <c r="A334" s="185" t="s">
        <v>167</v>
      </c>
      <c r="B334" s="186" t="n">
        <v>0</v>
      </c>
      <c r="C334" s="186" t="n">
        <v>0</v>
      </c>
      <c r="D334" s="186" t="n">
        <v>0</v>
      </c>
      <c r="E334" s="186" t="n">
        <v>0</v>
      </c>
      <c r="F334" s="186" t="n">
        <v>0</v>
      </c>
      <c r="G334" s="186" t="n">
        <v>0</v>
      </c>
      <c r="H334" s="186" t="n">
        <v>0</v>
      </c>
      <c r="I334" s="186" t="n">
        <v>0</v>
      </c>
      <c r="J334" s="186" t="n">
        <v>0</v>
      </c>
      <c r="K334" s="186" t="n">
        <v>0</v>
      </c>
      <c r="L334" s="186" t="n">
        <v>0</v>
      </c>
      <c r="M334" s="186" t="n">
        <v>0</v>
      </c>
      <c r="N334" s="219" t="n">
        <f aca="false">SUM(B334:M334)</f>
        <v>0</v>
      </c>
      <c r="O334" s="219"/>
      <c r="P334" s="220"/>
      <c r="Q334" s="221"/>
      <c r="R334" s="221"/>
      <c r="S334" s="220" t="e">
        <f aca="false"/>
        <v>#REF!</v>
      </c>
      <c r="T334" s="219" t="n">
        <v>0</v>
      </c>
      <c r="U334" s="219" t="n">
        <v>0</v>
      </c>
      <c r="W334" s="0"/>
      <c r="X334" s="0"/>
      <c r="Y334" s="0"/>
    </row>
    <row r="335" customFormat="false" ht="12.75" hidden="false" customHeight="false" outlineLevel="0" collapsed="false">
      <c r="A335" s="185" t="s">
        <v>168</v>
      </c>
      <c r="B335" s="198" t="n">
        <f aca="false">Detail!N110/1000</f>
        <v>28.458</v>
      </c>
      <c r="C335" s="198" t="n">
        <f aca="false">Detail!O110/1000</f>
        <v>25.704</v>
      </c>
      <c r="D335" s="198" t="n">
        <f aca="false">Detail!P110/1000</f>
        <v>28.458</v>
      </c>
      <c r="E335" s="198" t="n">
        <f aca="false">Detail!Q110/1000</f>
        <v>27.54</v>
      </c>
      <c r="F335" s="198" t="n">
        <f aca="false">Detail!R110/1000</f>
        <v>28.458</v>
      </c>
      <c r="G335" s="198" t="n">
        <f aca="false">Detail!S110/1000</f>
        <v>27.54</v>
      </c>
      <c r="H335" s="198" t="n">
        <f aca="false">Detail!T110/1000</f>
        <v>28.458</v>
      </c>
      <c r="I335" s="198" t="n">
        <f aca="false">Detail!U110/1000</f>
        <v>28.458</v>
      </c>
      <c r="J335" s="198" t="n">
        <f aca="false">Detail!V110/1000</f>
        <v>27.54</v>
      </c>
      <c r="K335" s="198" t="n">
        <f aca="false">Detail!W110/1000</f>
        <v>28.458</v>
      </c>
      <c r="L335" s="198" t="n">
        <f aca="false">Detail!X110/1000</f>
        <v>27.54</v>
      </c>
      <c r="M335" s="198" t="n">
        <f aca="false">Detail!Y110/1000</f>
        <v>28.458</v>
      </c>
      <c r="N335" s="222" t="n">
        <f aca="false">SUM(B335:M335)</f>
        <v>335.07</v>
      </c>
      <c r="O335" s="222"/>
      <c r="P335" s="223"/>
      <c r="Q335" s="223"/>
      <c r="R335" s="223"/>
      <c r="S335" s="223" t="e">
        <f aca="false"/>
        <v>#REF!</v>
      </c>
      <c r="T335" s="222" t="n">
        <v>335.07</v>
      </c>
      <c r="U335" s="222" t="n">
        <v>335.07</v>
      </c>
      <c r="W335" s="0"/>
      <c r="X335" s="0"/>
      <c r="Y335" s="0"/>
    </row>
    <row r="336" customFormat="false" ht="12.75" hidden="false" customHeight="false" outlineLevel="0" collapsed="false">
      <c r="A336" s="113" t="s">
        <v>169</v>
      </c>
      <c r="B336" s="224" t="n">
        <f aca="false">SUM(B327:B335)</f>
        <v>56.358</v>
      </c>
      <c r="C336" s="224" t="n">
        <f aca="false">SUM(C327:C335)</f>
        <v>50.904</v>
      </c>
      <c r="D336" s="224" t="n">
        <f aca="false">SUM(D327:D335)</f>
        <v>56.358</v>
      </c>
      <c r="E336" s="224" t="n">
        <f aca="false">SUM(E327:E335)</f>
        <v>54.54</v>
      </c>
      <c r="F336" s="224" t="n">
        <f aca="false">SUM(F327:F335)</f>
        <v>55.428</v>
      </c>
      <c r="G336" s="224" t="n">
        <f aca="false">SUM(G327:G335)</f>
        <v>53.64</v>
      </c>
      <c r="H336" s="224" t="n">
        <f aca="false">SUM(H327:H335)</f>
        <v>55.428</v>
      </c>
      <c r="I336" s="224" t="n">
        <f aca="false">SUM(I327:I335)</f>
        <v>55.428</v>
      </c>
      <c r="J336" s="224" t="n">
        <f aca="false">SUM(J327:J335)</f>
        <v>53.64</v>
      </c>
      <c r="K336" s="224" t="n">
        <f aca="false">SUM(K327:K335)</f>
        <v>56.358</v>
      </c>
      <c r="L336" s="224" t="n">
        <f aca="false">SUM(L327:L335)</f>
        <v>54.54</v>
      </c>
      <c r="M336" s="224" t="n">
        <f aca="false">SUM(M327:M335)</f>
        <v>54.498</v>
      </c>
      <c r="N336" s="224" t="n">
        <f aca="false">SUM(N327:N335)</f>
        <v>657.12</v>
      </c>
      <c r="O336" s="224"/>
      <c r="P336" s="188"/>
      <c r="Q336" s="195"/>
      <c r="R336" s="195"/>
      <c r="S336" s="188" t="e">
        <f aca="false">IF(#REF!=1,SUM(B336:D336),IF(#REF!=2,SUM(E336:G336),IF(#REF!=3,SUM(H336:J336),IF(#REF!=4,SUM(K336:M336),"    WRONG  "))))</f>
        <v>#REF!</v>
      </c>
      <c r="T336" s="224" t="n">
        <f aca="false">SUM(T327:T335)</f>
        <v>657.12</v>
      </c>
      <c r="U336" s="224" t="n">
        <f aca="false">SUM(U327:U335)</f>
        <v>657.12</v>
      </c>
      <c r="W336" s="0"/>
      <c r="X336" s="0"/>
      <c r="Y336" s="0"/>
    </row>
    <row r="337" customFormat="false" ht="12.75" hidden="false" customHeight="false" outlineLevel="0" collapsed="false">
      <c r="A337" s="11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188"/>
      <c r="Q337" s="195"/>
      <c r="R337" s="195"/>
      <c r="S337" s="188"/>
      <c r="T337" s="63"/>
      <c r="U337" s="63"/>
      <c r="W337" s="0"/>
      <c r="X337" s="0"/>
      <c r="Y337" s="0"/>
    </row>
    <row r="338" customFormat="false" ht="12.75" hidden="false" customHeight="false" outlineLevel="0" collapsed="false">
      <c r="A338" s="175" t="s">
        <v>170</v>
      </c>
      <c r="B338" s="225"/>
      <c r="C338" s="225"/>
      <c r="D338" s="225"/>
      <c r="E338" s="225"/>
      <c r="F338" s="225"/>
      <c r="G338" s="225"/>
      <c r="H338" s="62"/>
      <c r="I338" s="62"/>
      <c r="J338" s="62"/>
      <c r="K338" s="62"/>
      <c r="L338" s="62"/>
      <c r="M338" s="62"/>
      <c r="N338" s="179"/>
      <c r="O338" s="179"/>
      <c r="P338" s="188"/>
      <c r="Q338" s="195"/>
      <c r="R338" s="195"/>
      <c r="S338" s="188"/>
      <c r="T338" s="179"/>
      <c r="U338" s="179"/>
      <c r="W338" s="0"/>
      <c r="X338" s="0"/>
      <c r="Y338" s="0"/>
    </row>
    <row r="339" customFormat="false" ht="12.75" hidden="false" customHeight="false" outlineLevel="0" collapsed="false">
      <c r="A339" s="185" t="s">
        <v>171</v>
      </c>
      <c r="B339" s="186" t="n">
        <v>43.9425</v>
      </c>
      <c r="C339" s="186" t="n">
        <v>43.9425</v>
      </c>
      <c r="D339" s="186" t="n">
        <v>43.9425</v>
      </c>
      <c r="E339" s="186" t="n">
        <v>43.9425</v>
      </c>
      <c r="F339" s="186" t="n">
        <v>43.9425</v>
      </c>
      <c r="G339" s="186" t="n">
        <v>43.9425</v>
      </c>
      <c r="H339" s="186" t="n">
        <v>43.9425</v>
      </c>
      <c r="I339" s="186" t="n">
        <v>43.9425</v>
      </c>
      <c r="J339" s="186" t="n">
        <v>43.9425</v>
      </c>
      <c r="K339" s="186" t="n">
        <v>43.9425</v>
      </c>
      <c r="L339" s="186" t="n">
        <v>43.9425</v>
      </c>
      <c r="M339" s="186" t="n">
        <v>43.9425</v>
      </c>
      <c r="N339" s="226" t="n">
        <v>527.31</v>
      </c>
      <c r="O339" s="226"/>
      <c r="P339" s="203"/>
      <c r="Q339" s="203"/>
      <c r="R339" s="203"/>
      <c r="S339" s="227" t="e">
        <f aca="false"/>
        <v>#REF!</v>
      </c>
      <c r="T339" s="226" t="n">
        <v>527.31</v>
      </c>
      <c r="U339" s="226" t="n">
        <v>527.31</v>
      </c>
      <c r="W339" s="0"/>
      <c r="X339" s="0"/>
      <c r="Y339" s="0"/>
      <c r="Z339" s="225"/>
    </row>
    <row r="340" customFormat="false" ht="12.75" hidden="false" customHeight="false" outlineLevel="0" collapsed="false">
      <c r="A340" s="228" t="s">
        <v>168</v>
      </c>
      <c r="B340" s="198" t="n">
        <v>55.9674</v>
      </c>
      <c r="C340" s="198" t="n">
        <v>55.9674</v>
      </c>
      <c r="D340" s="198" t="n">
        <v>55.9674</v>
      </c>
      <c r="E340" s="198" t="n">
        <v>55.9674</v>
      </c>
      <c r="F340" s="198" t="n">
        <v>55.9674</v>
      </c>
      <c r="G340" s="198" t="n">
        <v>55.9674</v>
      </c>
      <c r="H340" s="198" t="n">
        <v>55.9674</v>
      </c>
      <c r="I340" s="198" t="n">
        <v>55.9674</v>
      </c>
      <c r="J340" s="198" t="n">
        <v>55.9674</v>
      </c>
      <c r="K340" s="198" t="n">
        <v>55.9674</v>
      </c>
      <c r="L340" s="198" t="n">
        <v>55.9674</v>
      </c>
      <c r="M340" s="198" t="n">
        <v>55.9674</v>
      </c>
      <c r="N340" s="229" t="n">
        <v>671.6088</v>
      </c>
      <c r="O340" s="229"/>
      <c r="P340" s="227"/>
      <c r="Q340" s="227"/>
      <c r="R340" s="227"/>
      <c r="S340" s="227" t="e">
        <f aca="false"/>
        <v>#REF!</v>
      </c>
      <c r="T340" s="229" t="n">
        <v>671.6088</v>
      </c>
      <c r="U340" s="229" t="n">
        <v>671.6088</v>
      </c>
      <c r="W340" s="0"/>
      <c r="X340" s="0"/>
      <c r="Y340" s="0"/>
    </row>
    <row r="341" customFormat="false" ht="12.75" hidden="false" customHeight="false" outlineLevel="0" collapsed="false">
      <c r="A341" s="113" t="s">
        <v>172</v>
      </c>
      <c r="B341" s="214" t="n">
        <f aca="false">SUM(B339:B340)</f>
        <v>99.9099</v>
      </c>
      <c r="C341" s="214" t="n">
        <f aca="false">SUM(C339:C340)</f>
        <v>99.9099</v>
      </c>
      <c r="D341" s="214" t="n">
        <f aca="false">SUM(D339:D340)</f>
        <v>99.9099</v>
      </c>
      <c r="E341" s="214" t="n">
        <f aca="false">SUM(E339:E340)</f>
        <v>99.9099</v>
      </c>
      <c r="F341" s="214" t="n">
        <f aca="false">SUM(F339:F340)</f>
        <v>99.9099</v>
      </c>
      <c r="G341" s="214" t="n">
        <f aca="false">SUM(G339:G340)</f>
        <v>99.9099</v>
      </c>
      <c r="H341" s="214" t="n">
        <f aca="false">SUM(H339:H340)</f>
        <v>99.9099</v>
      </c>
      <c r="I341" s="214" t="n">
        <f aca="false">SUM(I339:I340)</f>
        <v>99.9099</v>
      </c>
      <c r="J341" s="214" t="n">
        <f aca="false">SUM(J339:J340)</f>
        <v>99.9099</v>
      </c>
      <c r="K341" s="214" t="n">
        <f aca="false">SUM(K339:K340)</f>
        <v>99.9099</v>
      </c>
      <c r="L341" s="214" t="n">
        <f aca="false">SUM(L339:L340)</f>
        <v>99.9099</v>
      </c>
      <c r="M341" s="214" t="n">
        <f aca="false">SUM(M339:M340)</f>
        <v>99.9099</v>
      </c>
      <c r="N341" s="215" t="n">
        <f aca="false">SUM(N339:N340)</f>
        <v>1198.9188</v>
      </c>
      <c r="O341" s="216"/>
      <c r="P341" s="188" t="e">
        <f aca="false">CHOOSE(#REF!,SUM(B341,B341),SUM(B341:C341),SUM(B341:D341),SUM(B341:E341),SUM(B341:F341),SUM(B341:G341),SUM(B341:H341),SUM(B341:I341),SUM(B341:J341),SUM(B341:K341),SUM(B341:L341),SUM(B341:M341))</f>
        <v>#REF!</v>
      </c>
      <c r="Q341" s="195" t="e">
        <f aca="false">N341-P341</f>
        <v>#REF!</v>
      </c>
      <c r="R341" s="195" t="n">
        <f aca="false">N341</f>
        <v>1198.9188</v>
      </c>
      <c r="S341" s="188" t="e">
        <f aca="false">IF(#REF!=1,SUM(B341:D341),IF(#REF!=2,SUM(E341:G341),IF(#REF!=3,SUM(H341:J341),IF(#REF!=4,SUM(K341:M341),"    WRONG  "))))</f>
        <v>#REF!</v>
      </c>
      <c r="T341" s="215" t="n">
        <f aca="false">SUM(T339:T340)</f>
        <v>1198.9188</v>
      </c>
      <c r="U341" s="215" t="n">
        <f aca="false">SUM(U339:U340)</f>
        <v>1198.9188</v>
      </c>
      <c r="W341" s="0"/>
      <c r="X341" s="0"/>
      <c r="Y341" s="0"/>
    </row>
    <row r="342" customFormat="false" ht="12.75" hidden="false" customHeight="false" outlineLevel="0" collapsed="false">
      <c r="A342" s="110" t="s">
        <v>173</v>
      </c>
      <c r="B342" s="208" t="n">
        <f aca="false">+B341+B336</f>
        <v>156.2679</v>
      </c>
      <c r="C342" s="208" t="n">
        <f aca="false">+C341+C336</f>
        <v>150.8139</v>
      </c>
      <c r="D342" s="208" t="n">
        <f aca="false">+D341+D336</f>
        <v>156.2679</v>
      </c>
      <c r="E342" s="208" t="n">
        <f aca="false">+E341+E336</f>
        <v>154.4499</v>
      </c>
      <c r="F342" s="208" t="n">
        <f aca="false">+F341+F336</f>
        <v>155.3379</v>
      </c>
      <c r="G342" s="208" t="n">
        <f aca="false">+G341+G336</f>
        <v>153.5499</v>
      </c>
      <c r="H342" s="208" t="n">
        <f aca="false">+H341+H336</f>
        <v>155.3379</v>
      </c>
      <c r="I342" s="208" t="n">
        <f aca="false">+I341+I336</f>
        <v>155.3379</v>
      </c>
      <c r="J342" s="208" t="n">
        <f aca="false">+J341+J336</f>
        <v>153.5499</v>
      </c>
      <c r="K342" s="208" t="n">
        <f aca="false">+K341+K336</f>
        <v>156.2679</v>
      </c>
      <c r="L342" s="208" t="n">
        <f aca="false">+L341+L336</f>
        <v>154.4499</v>
      </c>
      <c r="M342" s="208" t="n">
        <f aca="false">+M341+M336</f>
        <v>154.4079</v>
      </c>
      <c r="N342" s="209" t="n">
        <f aca="false">+N341+N336</f>
        <v>1856.0388</v>
      </c>
      <c r="O342" s="211"/>
      <c r="P342" s="188"/>
      <c r="Q342" s="195"/>
      <c r="R342" s="195"/>
      <c r="S342" s="188"/>
      <c r="T342" s="209" t="n">
        <f aca="false">+T341+T336</f>
        <v>1856.0388</v>
      </c>
      <c r="U342" s="209" t="n">
        <f aca="false">+U341+U336</f>
        <v>1856.0388</v>
      </c>
      <c r="W342" s="0"/>
      <c r="X342" s="0"/>
      <c r="Y342" s="0"/>
    </row>
    <row r="343" customFormat="false" ht="12.75" hidden="false" customHeight="false" outlineLevel="0" collapsed="false">
      <c r="A343" s="110" t="s">
        <v>174</v>
      </c>
      <c r="B343" s="214" t="n">
        <f aca="false">+B291</f>
        <v>12612</v>
      </c>
      <c r="C343" s="214" t="n">
        <f aca="false">+C291</f>
        <v>17085</v>
      </c>
      <c r="D343" s="214" t="n">
        <f aca="false">+D291</f>
        <v>7478.358</v>
      </c>
      <c r="E343" s="214" t="n">
        <f aca="false">+E291</f>
        <v>11828.2</v>
      </c>
      <c r="F343" s="214" t="n">
        <f aca="false">+F291</f>
        <v>12651.158</v>
      </c>
      <c r="G343" s="214" t="n">
        <f aca="false">+G291</f>
        <v>12129.44</v>
      </c>
      <c r="H343" s="214" t="n">
        <f aca="false">+H291</f>
        <v>12701.8</v>
      </c>
      <c r="I343" s="214" t="n">
        <f aca="false">+I291</f>
        <v>12576.2</v>
      </c>
      <c r="J343" s="214" t="n">
        <f aca="false">+J291</f>
        <v>12033.34</v>
      </c>
      <c r="K343" s="214" t="n">
        <f aca="false">+K291</f>
        <v>12202.43184005</v>
      </c>
      <c r="L343" s="214" t="n">
        <f aca="false">+L291</f>
        <v>11289.5152785</v>
      </c>
      <c r="M343" s="214" t="n">
        <f aca="false">+M291</f>
        <v>12066.1636954934</v>
      </c>
      <c r="N343" s="215" t="n">
        <f aca="false">+N291</f>
        <v>146653.606814043</v>
      </c>
      <c r="O343" s="216"/>
      <c r="P343" s="188" t="e">
        <f aca="false">CHOOSE(#REF!,SUM(B343,B343),SUM(B343:C343),SUM(B343:D343),SUM(B343:E343),SUM(B343:F343),SUM(B343:G343),SUM(B343:H343),SUM(B343:I343),SUM(B343:J343),SUM(B343:K343),SUM(B343:L343),SUM(B343:M343))</f>
        <v>#REF!</v>
      </c>
      <c r="Q343" s="195" t="e">
        <f aca="false">N343-P343</f>
        <v>#REF!</v>
      </c>
      <c r="R343" s="195" t="n">
        <f aca="false">N343</f>
        <v>146653.606814043</v>
      </c>
      <c r="S343" s="188" t="e">
        <f aca="false">IF(#REF!=1,SUM(B343:D343),IF(#REF!=2,SUM(E343:G343),IF(#REF!=3,SUM(H343:J343),IF(#REF!=4,SUM(K343:M343),"    WRONG  "))))</f>
        <v>#REF!</v>
      </c>
      <c r="T343" s="215" t="n">
        <f aca="false">+T291</f>
        <v>171144.176262092</v>
      </c>
      <c r="U343" s="215" t="n">
        <f aca="false">+U291</f>
        <v>294668.793262092</v>
      </c>
    </row>
    <row r="344" customFormat="false" ht="12.75" hidden="false" customHeight="false" outlineLevel="0" collapsed="false">
      <c r="A344" s="110" t="s">
        <v>175</v>
      </c>
      <c r="B344" s="214" t="n">
        <f aca="false">+B343-B342</f>
        <v>12455.7321</v>
      </c>
      <c r="C344" s="214" t="n">
        <f aca="false">+C343-C342</f>
        <v>16934.1861</v>
      </c>
      <c r="D344" s="214" t="n">
        <f aca="false">+D343-D342</f>
        <v>7322.0901</v>
      </c>
      <c r="E344" s="214" t="n">
        <f aca="false">+E343-E342</f>
        <v>11673.7501</v>
      </c>
      <c r="F344" s="214" t="n">
        <f aca="false">+F343-F342</f>
        <v>12495.8201</v>
      </c>
      <c r="G344" s="214" t="n">
        <f aca="false">+G343-G342</f>
        <v>11975.8901</v>
      </c>
      <c r="H344" s="214" t="n">
        <f aca="false">+H343-H342</f>
        <v>12546.4621</v>
      </c>
      <c r="I344" s="214" t="n">
        <f aca="false">+I343-I342</f>
        <v>12420.8621</v>
      </c>
      <c r="J344" s="214" t="n">
        <f aca="false">+J343-J342</f>
        <v>11879.7901</v>
      </c>
      <c r="K344" s="214" t="n">
        <f aca="false">+K343-K342</f>
        <v>12046.16394005</v>
      </c>
      <c r="L344" s="214" t="n">
        <f aca="false">+L343-L342</f>
        <v>11135.0653785</v>
      </c>
      <c r="M344" s="214" t="n">
        <f aca="false">+M343-M342</f>
        <v>11911.7557954934</v>
      </c>
      <c r="N344" s="215" t="n">
        <f aca="false">+N343-N342</f>
        <v>144797.568014043</v>
      </c>
      <c r="O344" s="216"/>
      <c r="P344" s="188" t="e">
        <f aca="false">CHOOSE(#REF!,SUM(B344,B344),SUM(B344:C344),SUM(B344:D344),SUM(B344:E344),SUM(B344:F344),SUM(B344:G344),SUM(B344:H344),SUM(B344:I344),SUM(B344:J344),SUM(B344:K344),SUM(B344:L344),SUM(B344:M344))</f>
        <v>#REF!</v>
      </c>
      <c r="Q344" s="195" t="e">
        <f aca="false">N344-P344</f>
        <v>#REF!</v>
      </c>
      <c r="R344" s="195" t="n">
        <f aca="false">N344</f>
        <v>144797.568014043</v>
      </c>
      <c r="S344" s="188" t="e">
        <f aca="false">IF(#REF!=1,SUM(B344:D344),IF(#REF!=2,SUM(E344:G344),IF(#REF!=3,SUM(H344:J344),IF(#REF!=4,SUM(K344:M344),"    WRONG  "))))</f>
        <v>#REF!</v>
      </c>
      <c r="T344" s="215" t="n">
        <f aca="false">+T343-T342</f>
        <v>169288.137462092</v>
      </c>
      <c r="U344" s="215" t="n">
        <f aca="false">+U343-U342</f>
        <v>292812.754462092</v>
      </c>
    </row>
    <row r="345" customFormat="false" ht="13.5" hidden="false" customHeight="false" outlineLevel="0" collapsed="false">
      <c r="A345" s="110" t="s">
        <v>176</v>
      </c>
      <c r="B345" s="230" t="n">
        <f aca="false">+B344+B317</f>
        <v>13424.7321</v>
      </c>
      <c r="C345" s="230" t="n">
        <f aca="false">+C344+C317</f>
        <v>17920.1861</v>
      </c>
      <c r="D345" s="230" t="n">
        <f aca="false">+D344+D317</f>
        <v>7734.5901</v>
      </c>
      <c r="E345" s="230" t="n">
        <f aca="false">+E344+E317</f>
        <v>14183.071424</v>
      </c>
      <c r="F345" s="230" t="n">
        <f aca="false">+F344+F317</f>
        <v>16015.5201</v>
      </c>
      <c r="G345" s="230" t="n">
        <f aca="false">+G344+G317</f>
        <v>13990.3901</v>
      </c>
      <c r="H345" s="230" t="n">
        <f aca="false">+H344+H317</f>
        <v>13905.43322</v>
      </c>
      <c r="I345" s="230" t="n">
        <f aca="false">+I344+I317</f>
        <v>13885.28214</v>
      </c>
      <c r="J345" s="230" t="n">
        <f aca="false">+J344+J317</f>
        <v>12755.9609</v>
      </c>
      <c r="K345" s="230" t="n">
        <f aca="false">+K344+K317</f>
        <v>12815.0100621</v>
      </c>
      <c r="L345" s="230" t="n">
        <f aca="false">+L344+L317</f>
        <v>11885.294451</v>
      </c>
      <c r="M345" s="230" t="n">
        <f aca="false">+M344+M317</f>
        <v>12704.5951370168</v>
      </c>
      <c r="N345" s="231" t="n">
        <f aca="false">+N344+N317</f>
        <v>161220.065834117</v>
      </c>
      <c r="O345" s="232"/>
      <c r="P345" s="233"/>
      <c r="Q345" s="233"/>
      <c r="R345" s="233"/>
      <c r="S345" s="233"/>
      <c r="T345" s="231" t="n">
        <f aca="false">+T344+T317</f>
        <v>179076.47193352</v>
      </c>
      <c r="U345" s="231" t="n">
        <f aca="false">+U344+U317</f>
        <v>305329.97193352</v>
      </c>
    </row>
    <row r="346" customFormat="false" ht="13.5" hidden="false" customHeight="false" outlineLevel="0" collapsed="false">
      <c r="A346" s="234" t="s">
        <v>177</v>
      </c>
      <c r="B346" s="211" t="n">
        <f aca="false">B293-B343-B316</f>
        <v>0</v>
      </c>
      <c r="C346" s="211" t="n">
        <f aca="false">C293-C343-C316</f>
        <v>0</v>
      </c>
      <c r="D346" s="211" t="n">
        <f aca="false">D293-D343-D316</f>
        <v>0</v>
      </c>
      <c r="E346" s="211" t="n">
        <f aca="false">E293-E343-E316</f>
        <v>0</v>
      </c>
      <c r="F346" s="211" t="n">
        <f aca="false">F293-F343-F316</f>
        <v>0</v>
      </c>
      <c r="G346" s="211" t="n">
        <f aca="false">G293-G343-G316</f>
        <v>0</v>
      </c>
      <c r="H346" s="211" t="n">
        <f aca="false">H293-H343-H316</f>
        <v>0</v>
      </c>
      <c r="I346" s="211" t="n">
        <f aca="false">I293-I343-I316</f>
        <v>0</v>
      </c>
      <c r="J346" s="211" t="n">
        <f aca="false">J293-J343-J316</f>
        <v>0</v>
      </c>
      <c r="K346" s="211" t="n">
        <f aca="false">K293-K343-K316</f>
        <v>0</v>
      </c>
      <c r="L346" s="211" t="n">
        <f aca="false">L293-L343-L316</f>
        <v>0</v>
      </c>
      <c r="M346" s="211" t="n">
        <f aca="false">M293-M343-M316</f>
        <v>0</v>
      </c>
      <c r="N346" s="211" t="n">
        <f aca="false">N293-N343-N316</f>
        <v>0</v>
      </c>
      <c r="O346" s="211"/>
      <c r="P346" s="233"/>
      <c r="Q346" s="233"/>
      <c r="R346" s="233"/>
      <c r="S346" s="233"/>
      <c r="T346" s="211" t="n">
        <f aca="false">T293-T343-T316</f>
        <v>0</v>
      </c>
      <c r="U346" s="211" t="n">
        <f aca="false">U293-U343-U316</f>
        <v>0</v>
      </c>
    </row>
    <row r="347" customFormat="false" ht="12.75" hidden="false" customHeight="false" outlineLevel="0" collapsed="false">
      <c r="A347" s="234"/>
      <c r="B347" s="235"/>
      <c r="C347" s="235"/>
      <c r="D347" s="235"/>
      <c r="E347" s="235"/>
      <c r="F347" s="235"/>
      <c r="G347" s="235"/>
      <c r="H347" s="235"/>
      <c r="I347" s="235"/>
      <c r="J347" s="235"/>
      <c r="K347" s="235"/>
      <c r="L347" s="235"/>
      <c r="M347" s="235"/>
      <c r="N347" s="179"/>
      <c r="O347" s="179"/>
      <c r="P347" s="180" t="e">
        <f aca="false">#REF!</f>
        <v>#REF!</v>
      </c>
      <c r="Q347" s="180" t="e">
        <f aca="false">$R$9-$P$9</f>
        <v>#VALUE!</v>
      </c>
      <c r="R347" s="180" t="n">
        <v>12</v>
      </c>
      <c r="S347" s="180" t="e">
        <f aca="false">#REF!</f>
        <v>#REF!</v>
      </c>
      <c r="T347" s="179"/>
      <c r="U347" s="179"/>
    </row>
    <row r="348" customFormat="false" ht="15.75" hidden="false" customHeight="false" outlineLevel="0" collapsed="false">
      <c r="A348" s="88" t="s">
        <v>178</v>
      </c>
      <c r="B348" s="236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6"/>
      <c r="N348" s="237"/>
      <c r="O348" s="237"/>
      <c r="P348" s="184" t="s">
        <v>147</v>
      </c>
      <c r="Q348" s="184" t="str">
        <f aca="false">P348</f>
        <v>MONTH</v>
      </c>
      <c r="R348" s="184" t="str">
        <f aca="false">P348</f>
        <v>MONTH</v>
      </c>
      <c r="S348" s="184" t="s">
        <v>148</v>
      </c>
      <c r="T348" s="237"/>
      <c r="U348" s="237"/>
    </row>
    <row r="349" customFormat="false" ht="12.75" hidden="false" customHeight="false" outlineLevel="0" collapsed="false">
      <c r="A349" s="185" t="s">
        <v>179</v>
      </c>
      <c r="B349" s="141" t="n">
        <v>0.0369</v>
      </c>
      <c r="C349" s="141" t="n">
        <v>0.0369</v>
      </c>
      <c r="D349" s="141" t="n">
        <v>0.0369</v>
      </c>
      <c r="E349" s="141" t="n">
        <v>0.0369</v>
      </c>
      <c r="F349" s="141" t="n">
        <v>0.0369</v>
      </c>
      <c r="G349" s="141" t="n">
        <v>0.0369</v>
      </c>
      <c r="H349" s="141" t="n">
        <v>0.0369</v>
      </c>
      <c r="I349" s="141" t="n">
        <v>0.0369</v>
      </c>
      <c r="J349" s="141" t="n">
        <v>0.0369</v>
      </c>
      <c r="K349" s="141" t="n">
        <v>0.0369</v>
      </c>
      <c r="L349" s="141" t="n">
        <v>0.0369</v>
      </c>
      <c r="M349" s="141" t="n">
        <v>0.0369</v>
      </c>
      <c r="N349" s="238" t="n">
        <f aca="false">AVERAGE(B349:M349)</f>
        <v>0.0369</v>
      </c>
      <c r="O349" s="238"/>
      <c r="P349" s="233"/>
      <c r="Q349" s="233"/>
      <c r="R349" s="239"/>
      <c r="S349" s="240"/>
      <c r="T349" s="241"/>
      <c r="U349" s="241"/>
    </row>
    <row r="350" customFormat="false" ht="12.75" hidden="false" customHeight="false" outlineLevel="0" collapsed="false">
      <c r="A350" s="185" t="s">
        <v>180</v>
      </c>
      <c r="B350" s="141" t="n">
        <v>0</v>
      </c>
      <c r="C350" s="141" t="n">
        <v>0</v>
      </c>
      <c r="D350" s="141" t="n">
        <v>0</v>
      </c>
      <c r="E350" s="141" t="n">
        <v>0</v>
      </c>
      <c r="F350" s="141" t="n">
        <v>0</v>
      </c>
      <c r="G350" s="141" t="n">
        <v>0</v>
      </c>
      <c r="H350" s="141" t="n">
        <v>0</v>
      </c>
      <c r="I350" s="141" t="n">
        <v>0</v>
      </c>
      <c r="J350" s="141" t="n">
        <v>0</v>
      </c>
      <c r="K350" s="141" t="n">
        <v>0</v>
      </c>
      <c r="L350" s="141" t="n">
        <v>0</v>
      </c>
      <c r="M350" s="141" t="n">
        <v>0</v>
      </c>
      <c r="N350" s="238" t="n">
        <f aca="false">AVERAGE(B350:M350)</f>
        <v>0</v>
      </c>
      <c r="O350" s="238"/>
      <c r="P350" s="233"/>
      <c r="Q350" s="233"/>
      <c r="R350" s="188"/>
      <c r="S350" s="188"/>
      <c r="T350" s="241"/>
      <c r="U350" s="241"/>
    </row>
    <row r="351" customFormat="false" ht="12.75" hidden="false" customHeight="false" outlineLevel="0" collapsed="false">
      <c r="A351" s="185" t="s">
        <v>181</v>
      </c>
      <c r="B351" s="141" t="n">
        <v>0.0066</v>
      </c>
      <c r="C351" s="141" t="n">
        <v>0.0066</v>
      </c>
      <c r="D351" s="141" t="n">
        <v>0.0066</v>
      </c>
      <c r="E351" s="141" t="n">
        <v>0.0066</v>
      </c>
      <c r="F351" s="141" t="n">
        <v>0.0066</v>
      </c>
      <c r="G351" s="141" t="n">
        <v>0.0066</v>
      </c>
      <c r="H351" s="141" t="n">
        <v>0.0066</v>
      </c>
      <c r="I351" s="141" t="n">
        <v>0.0066</v>
      </c>
      <c r="J351" s="141" t="n">
        <v>0.0066</v>
      </c>
      <c r="K351" s="141" t="n">
        <v>0.0066</v>
      </c>
      <c r="L351" s="141" t="n">
        <v>0.0066</v>
      </c>
      <c r="M351" s="141" t="n">
        <v>0.0066</v>
      </c>
      <c r="N351" s="238" t="n">
        <f aca="false">AVERAGE(B351:M351)</f>
        <v>0.0066</v>
      </c>
      <c r="O351" s="238"/>
      <c r="P351" s="233"/>
      <c r="Q351" s="233"/>
      <c r="R351" s="233" t="e">
        <f aca="false">R350/#REF!</f>
        <v>#REF!</v>
      </c>
      <c r="S351" s="180"/>
      <c r="T351" s="241"/>
      <c r="U351" s="241"/>
    </row>
    <row r="352" customFormat="false" ht="12.75" hidden="false" customHeight="false" outlineLevel="0" collapsed="false">
      <c r="A352" s="185" t="s">
        <v>182</v>
      </c>
      <c r="B352" s="141" t="n">
        <v>0.004</v>
      </c>
      <c r="C352" s="141" t="n">
        <v>0.004</v>
      </c>
      <c r="D352" s="141" t="n">
        <v>0.004</v>
      </c>
      <c r="E352" s="141" t="n">
        <v>0.004</v>
      </c>
      <c r="F352" s="141" t="n">
        <v>0.004</v>
      </c>
      <c r="G352" s="141" t="n">
        <v>0.004</v>
      </c>
      <c r="H352" s="141" t="n">
        <v>0.004</v>
      </c>
      <c r="I352" s="141" t="n">
        <v>0.004</v>
      </c>
      <c r="J352" s="141" t="n">
        <v>0.004</v>
      </c>
      <c r="K352" s="141" t="n">
        <v>0.004</v>
      </c>
      <c r="L352" s="141" t="n">
        <v>0.004</v>
      </c>
      <c r="M352" s="141" t="n">
        <v>0.004</v>
      </c>
      <c r="N352" s="238" t="n">
        <f aca="false">AVERAGE(B352:M352)</f>
        <v>0.004</v>
      </c>
      <c r="O352" s="238"/>
      <c r="P352" s="180"/>
      <c r="Q352" s="180"/>
      <c r="R352" s="180"/>
      <c r="S352" s="180"/>
      <c r="T352" s="241"/>
      <c r="U352" s="241"/>
    </row>
    <row r="353" customFormat="false" ht="12.75" hidden="false" customHeight="false" outlineLevel="0" collapsed="false">
      <c r="A353" s="185" t="s">
        <v>183</v>
      </c>
      <c r="B353" s="141" t="n">
        <v>0.0022</v>
      </c>
      <c r="C353" s="141" t="n">
        <v>0.0022</v>
      </c>
      <c r="D353" s="141" t="n">
        <v>0.0022</v>
      </c>
      <c r="E353" s="141" t="n">
        <v>0.0022</v>
      </c>
      <c r="F353" s="141" t="n">
        <v>0.0022</v>
      </c>
      <c r="G353" s="141" t="n">
        <v>0.0022</v>
      </c>
      <c r="H353" s="141" t="n">
        <v>0.0022</v>
      </c>
      <c r="I353" s="141" t="n">
        <v>0.0022</v>
      </c>
      <c r="J353" s="141" t="n">
        <v>0.0022</v>
      </c>
      <c r="K353" s="141" t="n">
        <v>0.0022</v>
      </c>
      <c r="L353" s="141" t="n">
        <v>0.0022</v>
      </c>
      <c r="M353" s="141" t="n">
        <v>0.0022</v>
      </c>
      <c r="N353" s="238" t="n">
        <f aca="false">AVERAGE(B353:M353)</f>
        <v>0.0022</v>
      </c>
      <c r="O353" s="238"/>
      <c r="P353" s="180"/>
      <c r="Q353" s="180"/>
      <c r="R353" s="180"/>
      <c r="S353" s="180"/>
      <c r="T353" s="241"/>
      <c r="U353" s="241"/>
    </row>
    <row r="354" customFormat="false" ht="12.75" hidden="false" customHeight="false" outlineLevel="0" collapsed="false">
      <c r="A354" s="185" t="s">
        <v>184</v>
      </c>
      <c r="B354" s="141" t="n">
        <v>0.0072</v>
      </c>
      <c r="C354" s="141" t="n">
        <v>0.0072</v>
      </c>
      <c r="D354" s="141" t="n">
        <v>0.0072</v>
      </c>
      <c r="E354" s="141" t="n">
        <v>0.0072</v>
      </c>
      <c r="F354" s="141" t="n">
        <v>0.0072</v>
      </c>
      <c r="G354" s="141" t="n">
        <v>0.0072</v>
      </c>
      <c r="H354" s="141" t="n">
        <v>0.0072</v>
      </c>
      <c r="I354" s="141" t="n">
        <v>0.0072</v>
      </c>
      <c r="J354" s="141" t="n">
        <v>0.0072</v>
      </c>
      <c r="K354" s="141" t="n">
        <v>0.0072</v>
      </c>
      <c r="L354" s="141" t="n">
        <v>0.0072</v>
      </c>
      <c r="M354" s="141" t="n">
        <v>0.0072</v>
      </c>
      <c r="N354" s="238" t="n">
        <f aca="false">AVERAGE(B354:M354)</f>
        <v>0.0072</v>
      </c>
      <c r="O354" s="238"/>
      <c r="P354" s="180"/>
      <c r="Q354" s="180"/>
      <c r="R354" s="180"/>
      <c r="S354" s="180"/>
      <c r="T354" s="241"/>
      <c r="U354" s="241"/>
    </row>
    <row r="355" customFormat="false" ht="12.75" hidden="false" customHeight="false" outlineLevel="0" collapsed="false">
      <c r="A355" s="185" t="s">
        <v>185</v>
      </c>
      <c r="B355" s="141" t="n">
        <v>0</v>
      </c>
      <c r="C355" s="141" t="n">
        <v>0</v>
      </c>
      <c r="D355" s="141" t="n">
        <v>0</v>
      </c>
      <c r="E355" s="141" t="n">
        <v>0</v>
      </c>
      <c r="F355" s="141" t="n">
        <v>0</v>
      </c>
      <c r="G355" s="141" t="n">
        <v>0</v>
      </c>
      <c r="H355" s="141" t="n">
        <v>0</v>
      </c>
      <c r="I355" s="141" t="n">
        <v>0</v>
      </c>
      <c r="J355" s="141" t="n">
        <v>0</v>
      </c>
      <c r="K355" s="141" t="n">
        <v>0</v>
      </c>
      <c r="L355" s="141" t="n">
        <v>0</v>
      </c>
      <c r="M355" s="141" t="n">
        <v>0</v>
      </c>
      <c r="N355" s="238" t="n">
        <f aca="false">AVERAGE(B355:M355)</f>
        <v>0</v>
      </c>
      <c r="O355" s="238"/>
      <c r="P355" s="180"/>
      <c r="Q355" s="180"/>
      <c r="R355" s="180"/>
      <c r="S355" s="180"/>
      <c r="T355" s="241"/>
      <c r="U355" s="241"/>
    </row>
    <row r="356" customFormat="false" ht="12.75" hidden="false" customHeight="false" outlineLevel="0" collapsed="false">
      <c r="A356" s="185" t="s">
        <v>186</v>
      </c>
      <c r="B356" s="141" t="n">
        <v>0</v>
      </c>
      <c r="C356" s="141" t="n">
        <v>0</v>
      </c>
      <c r="D356" s="141" t="n">
        <v>0</v>
      </c>
      <c r="E356" s="141" t="n">
        <v>0</v>
      </c>
      <c r="F356" s="141" t="n">
        <v>0</v>
      </c>
      <c r="G356" s="141" t="n">
        <v>0</v>
      </c>
      <c r="H356" s="141" t="n">
        <v>0</v>
      </c>
      <c r="I356" s="141" t="n">
        <v>0</v>
      </c>
      <c r="J356" s="141" t="n">
        <v>0</v>
      </c>
      <c r="K356" s="141" t="n">
        <v>0</v>
      </c>
      <c r="L356" s="141" t="n">
        <v>0</v>
      </c>
      <c r="M356" s="141" t="n">
        <v>0</v>
      </c>
      <c r="N356" s="238" t="n">
        <f aca="false">AVERAGE(B356:M356)</f>
        <v>0</v>
      </c>
      <c r="O356" s="238"/>
      <c r="P356" s="180"/>
      <c r="Q356" s="180"/>
      <c r="R356" s="180"/>
      <c r="S356" s="180"/>
      <c r="T356" s="241"/>
      <c r="U356" s="241"/>
    </row>
    <row r="357" customFormat="false" ht="12.75" hidden="false" customHeight="false" outlineLevel="0" collapsed="false">
      <c r="A357" s="185" t="s">
        <v>187</v>
      </c>
      <c r="B357" s="141" t="n">
        <v>0</v>
      </c>
      <c r="C357" s="141" t="n">
        <v>0</v>
      </c>
      <c r="D357" s="141" t="n">
        <v>0</v>
      </c>
      <c r="E357" s="141" t="n">
        <v>0</v>
      </c>
      <c r="F357" s="141" t="n">
        <v>0</v>
      </c>
      <c r="G357" s="141" t="n">
        <v>0</v>
      </c>
      <c r="H357" s="141" t="n">
        <v>0</v>
      </c>
      <c r="I357" s="141" t="n">
        <v>0</v>
      </c>
      <c r="J357" s="141" t="n">
        <v>0</v>
      </c>
      <c r="K357" s="141" t="n">
        <v>0</v>
      </c>
      <c r="L357" s="141" t="n">
        <v>0</v>
      </c>
      <c r="M357" s="141" t="n">
        <v>0</v>
      </c>
      <c r="N357" s="238" t="n">
        <f aca="false">AVERAGE(B357:M357)</f>
        <v>0</v>
      </c>
      <c r="O357" s="238"/>
      <c r="P357" s="180"/>
      <c r="Q357" s="180"/>
      <c r="R357" s="180"/>
      <c r="S357" s="180"/>
      <c r="T357" s="241"/>
      <c r="U357" s="241"/>
    </row>
    <row r="358" customFormat="false" ht="12.75" hidden="false" customHeight="false" outlineLevel="0" collapsed="false">
      <c r="A358" s="185" t="s">
        <v>188</v>
      </c>
      <c r="B358" s="141" t="n">
        <v>0.0685</v>
      </c>
      <c r="C358" s="141" t="n">
        <v>0.0685</v>
      </c>
      <c r="D358" s="141" t="n">
        <v>0.0685</v>
      </c>
      <c r="E358" s="141" t="n">
        <v>0.0685</v>
      </c>
      <c r="F358" s="141" t="n">
        <v>0.0685</v>
      </c>
      <c r="G358" s="141" t="n">
        <v>0.0685</v>
      </c>
      <c r="H358" s="141" t="n">
        <v>0.0685</v>
      </c>
      <c r="I358" s="141" t="n">
        <v>0.0685</v>
      </c>
      <c r="J358" s="141" t="n">
        <v>0.0685</v>
      </c>
      <c r="K358" s="141" t="n">
        <v>0.0685</v>
      </c>
      <c r="L358" s="141" t="n">
        <v>0.0685</v>
      </c>
      <c r="M358" s="141" t="n">
        <v>0.0685</v>
      </c>
      <c r="N358" s="238" t="n">
        <f aca="false">AVERAGE(B358:M358)</f>
        <v>0.0685</v>
      </c>
      <c r="O358" s="238"/>
      <c r="P358" s="233"/>
      <c r="Q358" s="233"/>
      <c r="R358" s="233"/>
      <c r="S358" s="233"/>
      <c r="T358" s="241"/>
      <c r="U358" s="241"/>
    </row>
    <row r="359" customFormat="false" ht="12.75" hidden="false" customHeight="false" outlineLevel="0" collapsed="false">
      <c r="A359" s="185" t="s">
        <v>189</v>
      </c>
      <c r="B359" s="141" t="n">
        <f aca="false">B353+B354</f>
        <v>0.0094</v>
      </c>
      <c r="C359" s="141" t="n">
        <f aca="false">C353+C354</f>
        <v>0.0094</v>
      </c>
      <c r="D359" s="141" t="n">
        <f aca="false">D353+D354</f>
        <v>0.0094</v>
      </c>
      <c r="E359" s="141" t="n">
        <f aca="false">E353+E354</f>
        <v>0.0094</v>
      </c>
      <c r="F359" s="141" t="n">
        <f aca="false">F353+F354</f>
        <v>0.0094</v>
      </c>
      <c r="G359" s="141" t="n">
        <f aca="false">G353+G354</f>
        <v>0.0094</v>
      </c>
      <c r="H359" s="141" t="n">
        <f aca="false">H353+H354</f>
        <v>0.0094</v>
      </c>
      <c r="I359" s="141" t="n">
        <f aca="false">I353+I354</f>
        <v>0.0094</v>
      </c>
      <c r="J359" s="141" t="n">
        <f aca="false">J353+J354</f>
        <v>0.0094</v>
      </c>
      <c r="K359" s="141" t="n">
        <f aca="false">K353+K354</f>
        <v>0.0094</v>
      </c>
      <c r="L359" s="141" t="n">
        <f aca="false">L353+L354</f>
        <v>0.0094</v>
      </c>
      <c r="M359" s="141" t="n">
        <f aca="false">M353+M354</f>
        <v>0.0094</v>
      </c>
      <c r="N359" s="238" t="n">
        <f aca="false">AVERAGE(B359:M359)</f>
        <v>0.0094</v>
      </c>
      <c r="O359" s="238"/>
      <c r="P359" s="233" t="n">
        <f aca="false">P11</f>
        <v>0</v>
      </c>
      <c r="Q359" s="233" t="n">
        <f aca="false">Q11</f>
        <v>0</v>
      </c>
      <c r="R359" s="233" t="n">
        <f aca="false">R11</f>
        <v>0</v>
      </c>
      <c r="S359" s="233" t="n">
        <f aca="false">S11</f>
        <v>0</v>
      </c>
      <c r="T359" s="241"/>
      <c r="U359" s="241"/>
    </row>
    <row r="360" customFormat="false" ht="12.75" hidden="false" customHeight="false" outlineLevel="0" collapsed="false">
      <c r="A360" s="185" t="s">
        <v>190</v>
      </c>
      <c r="B360" s="141" t="n">
        <f aca="false">B353+B354+B355</f>
        <v>0.0094</v>
      </c>
      <c r="C360" s="141" t="n">
        <f aca="false">C353+C354+C355</f>
        <v>0.0094</v>
      </c>
      <c r="D360" s="141" t="n">
        <f aca="false">D353+D354+D355</f>
        <v>0.0094</v>
      </c>
      <c r="E360" s="141" t="n">
        <f aca="false">E353+E354+E355</f>
        <v>0.0094</v>
      </c>
      <c r="F360" s="141" t="n">
        <f aca="false">F353+F354+F355</f>
        <v>0.0094</v>
      </c>
      <c r="G360" s="141" t="n">
        <f aca="false">G353+G354+G355</f>
        <v>0.0094</v>
      </c>
      <c r="H360" s="141" t="n">
        <f aca="false">H353+H354+H355</f>
        <v>0.0094</v>
      </c>
      <c r="I360" s="141" t="n">
        <f aca="false">I353+I354+I355</f>
        <v>0.0094</v>
      </c>
      <c r="J360" s="141" t="n">
        <f aca="false">J353+J354+J355</f>
        <v>0.0094</v>
      </c>
      <c r="K360" s="141" t="n">
        <f aca="false">K353+K354+K355</f>
        <v>0.0094</v>
      </c>
      <c r="L360" s="141" t="n">
        <f aca="false">L353+L354+L355</f>
        <v>0.0094</v>
      </c>
      <c r="M360" s="141" t="n">
        <f aca="false">M353+M354+M355</f>
        <v>0.0094</v>
      </c>
      <c r="N360" s="238" t="n">
        <f aca="false">AVERAGE(B360:M360)</f>
        <v>0.0094</v>
      </c>
      <c r="O360" s="238"/>
      <c r="P360" s="233"/>
      <c r="Q360" s="233"/>
      <c r="R360" s="233"/>
      <c r="S360" s="233"/>
      <c r="T360" s="241"/>
      <c r="U360" s="241"/>
    </row>
    <row r="361" customFormat="false" ht="12.75" hidden="false" customHeight="false" outlineLevel="0" collapsed="false">
      <c r="A361" s="185" t="s">
        <v>191</v>
      </c>
      <c r="B361" s="141" t="n">
        <f aca="false">B353+B354+B356</f>
        <v>0.0094</v>
      </c>
      <c r="C361" s="141" t="n">
        <f aca="false">C353+C354+C356</f>
        <v>0.0094</v>
      </c>
      <c r="D361" s="141" t="n">
        <f aca="false">D353+D354+D356</f>
        <v>0.0094</v>
      </c>
      <c r="E361" s="141" t="n">
        <f aca="false">E353+E354+E356</f>
        <v>0.0094</v>
      </c>
      <c r="F361" s="141" t="n">
        <f aca="false">F353+F354+F356</f>
        <v>0.0094</v>
      </c>
      <c r="G361" s="141" t="n">
        <f aca="false">G353+G354+G356</f>
        <v>0.0094</v>
      </c>
      <c r="H361" s="141" t="n">
        <f aca="false">H353+H354+H356</f>
        <v>0.0094</v>
      </c>
      <c r="I361" s="141" t="n">
        <f aca="false">I353+I354+I356</f>
        <v>0.0094</v>
      </c>
      <c r="J361" s="141" t="n">
        <f aca="false">J353+J354+J356</f>
        <v>0.0094</v>
      </c>
      <c r="K361" s="141" t="n">
        <f aca="false">K353+K354+K356</f>
        <v>0.0094</v>
      </c>
      <c r="L361" s="141" t="n">
        <f aca="false">L353+L354+L356</f>
        <v>0.0094</v>
      </c>
      <c r="M361" s="141" t="n">
        <f aca="false">M353+M354+M356</f>
        <v>0.0094</v>
      </c>
      <c r="N361" s="238" t="n">
        <f aca="false">AVERAGE(B361:M361)</f>
        <v>0.0094</v>
      </c>
      <c r="O361" s="238"/>
      <c r="P361" s="233"/>
      <c r="Q361" s="233"/>
      <c r="R361" s="233"/>
      <c r="S361" s="233"/>
      <c r="T361" s="241"/>
      <c r="U361" s="241"/>
    </row>
    <row r="362" customFormat="false" ht="12.75" hidden="false" customHeight="false" outlineLevel="0" collapsed="false">
      <c r="A362" s="185"/>
      <c r="B362" s="242"/>
      <c r="C362" s="242"/>
      <c r="D362" s="242"/>
      <c r="E362" s="242"/>
      <c r="F362" s="242"/>
      <c r="G362" s="242"/>
      <c r="H362" s="242"/>
      <c r="I362" s="242"/>
      <c r="J362" s="242"/>
      <c r="K362" s="242"/>
      <c r="L362" s="242"/>
      <c r="M362" s="242"/>
      <c r="N362" s="241"/>
      <c r="O362" s="241"/>
      <c r="P362" s="233"/>
      <c r="Q362" s="233"/>
      <c r="R362" s="233"/>
      <c r="S362" s="233"/>
      <c r="T362" s="241"/>
      <c r="U362" s="241"/>
    </row>
    <row r="363" customFormat="false" ht="12.75" hidden="false" customHeight="false" outlineLevel="0" collapsed="false">
      <c r="A363" s="243" t="s">
        <v>192</v>
      </c>
      <c r="B363" s="235"/>
      <c r="C363" s="235"/>
      <c r="D363" s="235"/>
      <c r="E363" s="235"/>
      <c r="F363" s="235"/>
      <c r="G363" s="235"/>
      <c r="H363" s="235"/>
      <c r="I363" s="235"/>
      <c r="J363" s="235"/>
      <c r="K363" s="235"/>
      <c r="L363" s="235"/>
      <c r="M363" s="235"/>
      <c r="N363" s="179"/>
      <c r="O363" s="179"/>
      <c r="P363" s="233"/>
      <c r="Q363" s="233"/>
      <c r="R363" s="233"/>
      <c r="S363" s="233"/>
      <c r="T363" s="179"/>
      <c r="U363" s="179"/>
    </row>
    <row r="364" customFormat="false" ht="12.75" hidden="false" customHeight="false" outlineLevel="0" collapsed="false">
      <c r="A364" s="185" t="s">
        <v>193</v>
      </c>
      <c r="B364" s="244" t="n">
        <v>0.0025</v>
      </c>
      <c r="C364" s="244" t="n">
        <v>0.0025</v>
      </c>
      <c r="D364" s="244" t="n">
        <v>0.0025</v>
      </c>
      <c r="E364" s="244" t="n">
        <v>0.0025</v>
      </c>
      <c r="F364" s="244" t="n">
        <v>0.0025</v>
      </c>
      <c r="G364" s="244" t="n">
        <v>0.0025</v>
      </c>
      <c r="H364" s="244" t="n">
        <v>0.0025</v>
      </c>
      <c r="I364" s="244" t="n">
        <v>0.0025</v>
      </c>
      <c r="J364" s="244" t="n">
        <v>0.0025</v>
      </c>
      <c r="K364" s="244" t="n">
        <v>0.0025</v>
      </c>
      <c r="L364" s="244" t="n">
        <v>0.0025</v>
      </c>
      <c r="M364" s="244" t="n">
        <v>0.0025</v>
      </c>
      <c r="N364" s="241" t="n">
        <f aca="false">AVERAGE(B364:M364)</f>
        <v>0.0025</v>
      </c>
      <c r="O364" s="241"/>
      <c r="P364" s="180"/>
      <c r="Q364" s="180"/>
      <c r="R364" s="180"/>
      <c r="S364" s="180"/>
      <c r="T364" s="241"/>
      <c r="U364" s="241"/>
    </row>
    <row r="365" customFormat="false" ht="12.75" hidden="false" customHeight="false" outlineLevel="0" collapsed="false">
      <c r="A365" s="185" t="s">
        <v>194</v>
      </c>
      <c r="B365" s="244" t="n">
        <v>0.0499</v>
      </c>
      <c r="C365" s="244" t="n">
        <v>0.0499</v>
      </c>
      <c r="D365" s="244" t="n">
        <v>0.0499</v>
      </c>
      <c r="E365" s="244" t="n">
        <v>0.0499</v>
      </c>
      <c r="F365" s="244" t="n">
        <v>0.0499</v>
      </c>
      <c r="G365" s="244" t="n">
        <v>0.0499</v>
      </c>
      <c r="H365" s="244" t="n">
        <v>0.0499</v>
      </c>
      <c r="I365" s="244" t="n">
        <v>0.0499</v>
      </c>
      <c r="J365" s="244" t="n">
        <v>0.0499</v>
      </c>
      <c r="K365" s="244" t="n">
        <v>0.0499</v>
      </c>
      <c r="L365" s="244" t="n">
        <v>0.0499</v>
      </c>
      <c r="M365" s="244" t="n">
        <v>0.0499</v>
      </c>
      <c r="N365" s="241" t="n">
        <f aca="false">AVERAGE(B365:M365)</f>
        <v>0.0499</v>
      </c>
      <c r="O365" s="241"/>
      <c r="P365" s="180"/>
      <c r="Q365" s="180"/>
      <c r="R365" s="180"/>
      <c r="S365" s="180"/>
      <c r="T365" s="241"/>
      <c r="U365" s="241"/>
    </row>
    <row r="366" customFormat="false" ht="12.75" hidden="false" customHeight="false" outlineLevel="0" collapsed="false">
      <c r="A366" s="185" t="s">
        <v>195</v>
      </c>
      <c r="B366" s="244" t="n">
        <v>0.0068</v>
      </c>
      <c r="C366" s="244" t="n">
        <v>0.0068</v>
      </c>
      <c r="D366" s="244" t="n">
        <v>0.0068</v>
      </c>
      <c r="E366" s="244" t="n">
        <v>0.0068</v>
      </c>
      <c r="F366" s="244" t="n">
        <v>0.0068</v>
      </c>
      <c r="G366" s="244" t="n">
        <v>0.0068</v>
      </c>
      <c r="H366" s="244" t="n">
        <v>0.0068</v>
      </c>
      <c r="I366" s="244" t="n">
        <v>0.0068</v>
      </c>
      <c r="J366" s="244" t="n">
        <v>0.0068</v>
      </c>
      <c r="K366" s="244" t="n">
        <v>0.0068</v>
      </c>
      <c r="L366" s="244" t="n">
        <v>0.0068</v>
      </c>
      <c r="M366" s="244" t="n">
        <v>0.0068</v>
      </c>
      <c r="N366" s="241" t="n">
        <f aca="false">AVERAGE(B366:M366)</f>
        <v>0.0068</v>
      </c>
      <c r="O366" s="241"/>
      <c r="P366" s="180"/>
      <c r="Q366" s="180"/>
      <c r="R366" s="180"/>
      <c r="S366" s="180"/>
      <c r="T366" s="241"/>
      <c r="U366" s="241"/>
    </row>
    <row r="367" customFormat="false" ht="12.75" hidden="false" customHeight="false" outlineLevel="0" collapsed="false">
      <c r="A367" s="185" t="s">
        <v>196</v>
      </c>
      <c r="B367" s="244" t="n">
        <v>0.0184</v>
      </c>
      <c r="C367" s="244" t="n">
        <v>0.0184</v>
      </c>
      <c r="D367" s="244" t="n">
        <v>0.0184</v>
      </c>
      <c r="E367" s="244" t="n">
        <v>0.0184</v>
      </c>
      <c r="F367" s="244" t="n">
        <v>0.0184</v>
      </c>
      <c r="G367" s="244" t="n">
        <v>0.0184</v>
      </c>
      <c r="H367" s="244" t="n">
        <v>0.0184</v>
      </c>
      <c r="I367" s="244" t="n">
        <v>0.0184</v>
      </c>
      <c r="J367" s="244" t="n">
        <v>0.0184</v>
      </c>
      <c r="K367" s="244" t="n">
        <v>0.0184</v>
      </c>
      <c r="L367" s="244" t="n">
        <v>0.0184</v>
      </c>
      <c r="M367" s="244" t="n">
        <v>0.0184</v>
      </c>
      <c r="N367" s="241" t="n">
        <f aca="false">AVERAGE(B367:M367)</f>
        <v>0.0184</v>
      </c>
      <c r="O367" s="241"/>
      <c r="P367" s="180"/>
      <c r="Q367" s="180"/>
      <c r="R367" s="180"/>
      <c r="S367" s="180"/>
      <c r="T367" s="241"/>
      <c r="U367" s="241"/>
    </row>
    <row r="368" customFormat="false" ht="12.75" hidden="false" customHeight="false" outlineLevel="0" collapsed="false">
      <c r="A368" s="185" t="s">
        <v>197</v>
      </c>
      <c r="B368" s="244" t="n">
        <v>0.0058</v>
      </c>
      <c r="C368" s="244" t="n">
        <v>0.0058</v>
      </c>
      <c r="D368" s="244" t="n">
        <v>0.0058</v>
      </c>
      <c r="E368" s="244" t="n">
        <v>0.0058</v>
      </c>
      <c r="F368" s="244" t="n">
        <v>0.0058</v>
      </c>
      <c r="G368" s="244" t="n">
        <v>0.0058</v>
      </c>
      <c r="H368" s="244" t="n">
        <v>0.0058</v>
      </c>
      <c r="I368" s="244" t="n">
        <v>0.0058</v>
      </c>
      <c r="J368" s="244" t="n">
        <v>0.0058</v>
      </c>
      <c r="K368" s="244" t="n">
        <v>0.0058</v>
      </c>
      <c r="L368" s="244" t="n">
        <v>0.0058</v>
      </c>
      <c r="M368" s="244" t="n">
        <v>0.0058</v>
      </c>
      <c r="N368" s="241" t="n">
        <f aca="false">AVERAGE(B368:M368)</f>
        <v>0.0058</v>
      </c>
      <c r="O368" s="241"/>
      <c r="P368" s="180"/>
      <c r="Q368" s="180"/>
      <c r="R368" s="180"/>
      <c r="S368" s="180"/>
      <c r="T368" s="241"/>
      <c r="U368" s="241"/>
    </row>
    <row r="369" customFormat="false" ht="12.75" hidden="false" customHeight="false" outlineLevel="0" collapsed="false">
      <c r="A369" s="185"/>
      <c r="B369" s="245"/>
      <c r="C369" s="245"/>
      <c r="D369" s="245"/>
      <c r="E369" s="245"/>
      <c r="F369" s="245"/>
      <c r="G369" s="245"/>
      <c r="H369" s="245"/>
      <c r="I369" s="245"/>
      <c r="J369" s="245"/>
      <c r="K369" s="245"/>
      <c r="L369" s="245"/>
      <c r="M369" s="245"/>
      <c r="N369" s="179"/>
      <c r="O369" s="179"/>
      <c r="P369" s="180"/>
      <c r="Q369" s="180"/>
      <c r="R369" s="180"/>
      <c r="S369" s="180"/>
      <c r="T369" s="179"/>
      <c r="U369" s="179"/>
    </row>
    <row r="370" customFormat="false" ht="12.75" hidden="false" customHeight="false" outlineLevel="0" collapsed="false">
      <c r="A370" s="243" t="s">
        <v>198</v>
      </c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179"/>
      <c r="O370" s="179"/>
      <c r="P370" s="180"/>
      <c r="Q370" s="180"/>
      <c r="R370" s="180"/>
      <c r="S370" s="180"/>
      <c r="T370" s="179"/>
      <c r="U370" s="179"/>
    </row>
    <row r="371" customFormat="false" ht="12.75" hidden="false" customHeight="false" outlineLevel="0" collapsed="false">
      <c r="A371" s="185" t="s">
        <v>199</v>
      </c>
      <c r="B371" s="246" t="n">
        <f aca="false">'Fuel Calc'!C50</f>
        <v>641.855</v>
      </c>
      <c r="C371" s="246" t="n">
        <f aca="false">'Fuel Calc'!D50</f>
        <v>597.267999999997</v>
      </c>
      <c r="D371" s="246" t="n">
        <f aca="false">'Fuel Calc'!E50</f>
        <v>638.599999999999</v>
      </c>
      <c r="E371" s="246" t="n">
        <f aca="false">'Fuel Calc'!F50</f>
        <v>816.000000000001</v>
      </c>
      <c r="F371" s="246" t="n">
        <f aca="false">'Fuel Calc'!G50</f>
        <v>756.399999999999</v>
      </c>
      <c r="G371" s="246" t="n">
        <f aca="false">'Fuel Calc'!H50</f>
        <v>693.000000000001</v>
      </c>
      <c r="H371" s="246" t="n">
        <f aca="false">'Fuel Calc'!I50</f>
        <v>709.899999999999</v>
      </c>
      <c r="I371" s="246" t="n">
        <f aca="false">'Fuel Calc'!J50</f>
        <v>722.299999999999</v>
      </c>
      <c r="J371" s="246" t="n">
        <f aca="false">'Fuel Calc'!K50</f>
        <v>636</v>
      </c>
      <c r="K371" s="246" t="n">
        <f aca="false">'Fuel Calc'!L50</f>
        <v>558.749999999999</v>
      </c>
      <c r="L371" s="246" t="n">
        <f aca="false">'Fuel Calc'!M50</f>
        <v>408.319999999998</v>
      </c>
      <c r="M371" s="246" t="n">
        <f aca="false">'Fuel Calc'!N50</f>
        <v>461.993000000001</v>
      </c>
      <c r="N371" s="179" t="n">
        <f aca="false">SUM(B371:M371)</f>
        <v>7640.38599999999</v>
      </c>
      <c r="O371" s="179"/>
      <c r="P371" s="188" t="e">
        <f aca="false">CHOOSE(#REF!,SUM(B371,B371),SUM(B371:C371),SUM(B371:D371),SUM(B371:E371),SUM(B371:F371),SUM(B371:G371),SUM(B371:H371),SUM(B371:I371),SUM(B371:J371),SUM(B371:K371),SUM(B371:L371),SUM(B371:M371))</f>
        <v>#REF!</v>
      </c>
      <c r="Q371" s="188" t="e">
        <f aca="false">N371-P371</f>
        <v>#REF!</v>
      </c>
      <c r="R371" s="188" t="n">
        <f aca="false">N371</f>
        <v>7640.38599999999</v>
      </c>
      <c r="S371" s="239" t="e">
        <f aca="false">IF(#REF!=1,SUM(B371:D371),IF(#REF!=2,SUM(E371:G371),IF(#REF!=3,SUM(H371:J371),IF(#REF!=4,SUM(K371:M371),"    WRONG  "))))</f>
        <v>#REF!</v>
      </c>
      <c r="T371" s="179"/>
      <c r="U371" s="179"/>
    </row>
    <row r="372" customFormat="false" ht="12.75" hidden="false" customHeight="false" outlineLevel="0" collapsed="false">
      <c r="A372" s="185" t="s">
        <v>200</v>
      </c>
      <c r="B372" s="246" t="n">
        <f aca="false">'Fuel Calc'!C49</f>
        <v>701.065</v>
      </c>
      <c r="C372" s="246" t="n">
        <f aca="false">'Fuel Calc'!D49</f>
        <v>609.224</v>
      </c>
      <c r="D372" s="246" t="n">
        <f aca="false">'Fuel Calc'!E49</f>
        <v>678.899999999999</v>
      </c>
      <c r="E372" s="246" t="n">
        <f aca="false">'Fuel Calc'!F49</f>
        <v>504</v>
      </c>
      <c r="F372" s="246" t="n">
        <f aca="false">'Fuel Calc'!G49</f>
        <v>561.100000000001</v>
      </c>
      <c r="G372" s="246" t="n">
        <f aca="false">'Fuel Calc'!H49</f>
        <v>573.000000000001</v>
      </c>
      <c r="H372" s="246" t="n">
        <f aca="false">'Fuel Calc'!I49</f>
        <v>604.499999999998</v>
      </c>
      <c r="I372" s="246" t="n">
        <f aca="false">'Fuel Calc'!J49</f>
        <v>632.400000000001</v>
      </c>
      <c r="J372" s="246" t="n">
        <f aca="false">'Fuel Calc'!K49</f>
        <v>576.000000000001</v>
      </c>
      <c r="K372" s="246" t="n">
        <f aca="false">'Fuel Calc'!L49</f>
        <v>638.786</v>
      </c>
      <c r="L372" s="246" t="n">
        <f aca="false">'Fuel Calc'!M49</f>
        <v>729.6</v>
      </c>
      <c r="M372" s="246" t="n">
        <f aca="false">'Fuel Calc'!N49</f>
        <v>689.75</v>
      </c>
      <c r="N372" s="179" t="n">
        <f aca="false">SUM(B372:M372)</f>
        <v>7498.325</v>
      </c>
      <c r="O372" s="179"/>
      <c r="P372" s="188" t="e">
        <f aca="false">CHOOSE(#REF!,SUM(B372,B372),SUM(B372:C372),SUM(B372:D372),SUM(B372:E372),SUM(B372:F372),SUM(B372:G372),SUM(B372:H372),SUM(B372:I372),SUM(B372:J372),SUM(B372:K372),SUM(B372:L372),SUM(B372:M372))</f>
        <v>#REF!</v>
      </c>
      <c r="Q372" s="188" t="e">
        <f aca="false">N372-P372</f>
        <v>#REF!</v>
      </c>
      <c r="R372" s="188" t="n">
        <f aca="false">N372</f>
        <v>7498.325</v>
      </c>
      <c r="S372" s="239" t="e">
        <f aca="false">IF(#REF!=1,SUM(B372:D372),IF(#REF!=2,SUM(E372:G372),IF(#REF!=3,SUM(H372:J372),IF(#REF!=4,SUM(K372:M372),"    WRONG  "))))</f>
        <v>#REF!</v>
      </c>
      <c r="T372" s="179"/>
      <c r="U372" s="179"/>
    </row>
    <row r="373" customFormat="false" ht="12.75" hidden="false" customHeight="false" outlineLevel="0" collapsed="false">
      <c r="A373" s="185" t="s">
        <v>201</v>
      </c>
      <c r="B373" s="246" t="n">
        <f aca="false">'Fuel Calc'!C51</f>
        <v>373.736</v>
      </c>
      <c r="C373" s="246" t="n">
        <f aca="false">'Fuel Calc'!D51</f>
        <v>354.256</v>
      </c>
      <c r="D373" s="246" t="n">
        <f aca="false">'Fuel Calc'!E51</f>
        <v>396.8</v>
      </c>
      <c r="E373" s="246" t="n">
        <f aca="false">'Fuel Calc'!F51</f>
        <v>311.999999999999</v>
      </c>
      <c r="F373" s="246" t="n">
        <f aca="false">'Fuel Calc'!G51</f>
        <v>331.7</v>
      </c>
      <c r="G373" s="246" t="n">
        <f aca="false">'Fuel Calc'!H51</f>
        <v>327</v>
      </c>
      <c r="H373" s="246" t="n">
        <f aca="false">'Fuel Calc'!I51</f>
        <v>362.7</v>
      </c>
      <c r="I373" s="246" t="n">
        <f aca="false">'Fuel Calc'!J51</f>
        <v>347.2</v>
      </c>
      <c r="J373" s="246" t="n">
        <f aca="false">'Fuel Calc'!K51</f>
        <v>309</v>
      </c>
      <c r="K373" s="246" t="n">
        <f aca="false">'Fuel Calc'!L51</f>
        <v>349.68</v>
      </c>
      <c r="L373" s="246" t="n">
        <f aca="false">'Fuel Calc'!M51</f>
        <v>372</v>
      </c>
      <c r="M373" s="246" t="n">
        <f aca="false">'Fuel Calc'!N51</f>
        <v>401.202</v>
      </c>
      <c r="N373" s="179" t="n">
        <f aca="false">SUM(B373:M373)</f>
        <v>4237.274</v>
      </c>
      <c r="O373" s="179"/>
      <c r="P373" s="188" t="e">
        <f aca="false">CHOOSE(#REF!,SUM(B373,B373),SUM(B373:C373),SUM(B373:D373),SUM(B373:E373),SUM(B373:F373),SUM(B373:G373),SUM(B373:H373),SUM(B373:I373),SUM(B373:J373),SUM(B373:K373),SUM(B373:L373),SUM(B373:M373))</f>
        <v>#REF!</v>
      </c>
      <c r="Q373" s="188" t="e">
        <f aca="false">N373-P373</f>
        <v>#REF!</v>
      </c>
      <c r="R373" s="188" t="n">
        <f aca="false">N373</f>
        <v>4237.274</v>
      </c>
      <c r="S373" s="239" t="e">
        <f aca="false">IF(#REF!=1,SUM(B373:D373),IF(#REF!=2,SUM(E373:G373),IF(#REF!=3,SUM(H373:J373),IF(#REF!=4,SUM(K373:M373),"    WRONG  "))))</f>
        <v>#REF!</v>
      </c>
      <c r="T373" s="179"/>
      <c r="U373" s="179"/>
    </row>
    <row r="374" customFormat="false" ht="12.75" hidden="false" customHeight="false" outlineLevel="0" collapsed="false">
      <c r="A374" s="185" t="s">
        <v>202</v>
      </c>
      <c r="B374" s="246" t="n">
        <f aca="false">'Fuel Calc'!C54+'Fuel Calc'!C55</f>
        <v>146.847</v>
      </c>
      <c r="C374" s="246" t="n">
        <f aca="false">'Fuel Calc'!D54+'Fuel Calc'!D55</f>
        <v>132.776</v>
      </c>
      <c r="D374" s="246" t="n">
        <f aca="false">'Fuel Calc'!E54+'Fuel Calc'!E55</f>
        <v>151.900000000001</v>
      </c>
      <c r="E374" s="246" t="n">
        <f aca="false">'Fuel Calc'!F54+'Fuel Calc'!F55</f>
        <v>229.590000000001</v>
      </c>
      <c r="F374" s="246" t="n">
        <f aca="false">'Fuel Calc'!G54+'Fuel Calc'!G55</f>
        <v>216.999999999999</v>
      </c>
      <c r="G374" s="246" t="n">
        <f aca="false">'Fuel Calc'!H54+'Fuel Calc'!H55</f>
        <v>204.000000000001</v>
      </c>
      <c r="H374" s="246" t="n">
        <f aca="false">'Fuel Calc'!I54+'Fuel Calc'!I55</f>
        <v>213.899999999999</v>
      </c>
      <c r="I374" s="246" t="n">
        <f aca="false">'Fuel Calc'!J54+'Fuel Calc'!J55</f>
        <v>207.699999999998</v>
      </c>
      <c r="J374" s="246" t="n">
        <f aca="false">'Fuel Calc'!K54+'Fuel Calc'!K55</f>
        <v>177.000000000002</v>
      </c>
      <c r="K374" s="246" t="n">
        <f aca="false">'Fuel Calc'!L54+'Fuel Calc'!L55</f>
        <v>173.909999999999</v>
      </c>
      <c r="L374" s="246" t="n">
        <f aca="false">'Fuel Calc'!M54+'Fuel Calc'!M55</f>
        <v>183.599999999998</v>
      </c>
      <c r="M374" s="246" t="n">
        <f aca="false">'Fuel Calc'!N54+'Fuel Calc'!N55</f>
        <v>205.263337999999</v>
      </c>
      <c r="N374" s="179" t="n">
        <f aca="false">SUM(B374:M374)</f>
        <v>2243.486338</v>
      </c>
      <c r="O374" s="179"/>
      <c r="P374" s="188" t="e">
        <f aca="false">CHOOSE(#REF!,SUM(B374,B374),SUM(B374:C374),SUM(B374:D374),SUM(B374:E374),SUM(B374:F374),SUM(B374:G374),SUM(B374:H374),SUM(B374:I374),SUM(B374:J374),SUM(B374:K374),SUM(B374:L374),SUM(B374:M374))</f>
        <v>#REF!</v>
      </c>
      <c r="Q374" s="188" t="e">
        <f aca="false">N374-P374</f>
        <v>#REF!</v>
      </c>
      <c r="R374" s="188" t="n">
        <f aca="false">N374</f>
        <v>2243.486338</v>
      </c>
      <c r="S374" s="239" t="e">
        <f aca="false">IF(#REF!=1,SUM(B374:D374),IF(#REF!=2,SUM(E374:G374),IF(#REF!=3,SUM(H374:J374),IF(#REF!=4,SUM(K374:M374),"    WRONG  "))))</f>
        <v>#REF!</v>
      </c>
      <c r="T374" s="179"/>
      <c r="U374" s="179"/>
    </row>
    <row r="375" customFormat="false" ht="12.75" hidden="false" customHeight="false" outlineLevel="0" collapsed="false">
      <c r="A375" s="185" t="s">
        <v>203</v>
      </c>
      <c r="B375" s="246" t="n">
        <f aca="false">'Fuel Calc'!C53</f>
        <v>60.0160000000011</v>
      </c>
      <c r="C375" s="246" t="n">
        <f aca="false">'Fuel Calc'!D53</f>
        <v>51.8000000000006</v>
      </c>
      <c r="D375" s="246" t="n">
        <f aca="false">'Fuel Calc'!E53</f>
        <v>55.7999999999986</v>
      </c>
      <c r="E375" s="246" t="n">
        <f aca="false">'Fuel Calc'!F53</f>
        <v>48.0000000000007</v>
      </c>
      <c r="F375" s="246" t="n">
        <f aca="false">'Fuel Calc'!G53</f>
        <v>49.6000000000007</v>
      </c>
      <c r="G375" s="246" t="n">
        <f aca="false">'Fuel Calc'!H53</f>
        <v>50.999999999998</v>
      </c>
      <c r="H375" s="246" t="n">
        <f aca="false">'Fuel Calc'!I53</f>
        <v>65.1000000000007</v>
      </c>
      <c r="I375" s="246" t="n">
        <f aca="false">'Fuel Calc'!J53</f>
        <v>62</v>
      </c>
      <c r="J375" s="246" t="n">
        <f aca="false">'Fuel Calc'!K53</f>
        <v>51.0000000000014</v>
      </c>
      <c r="K375" s="246" t="n">
        <f aca="false">'Fuel Calc'!L53</f>
        <v>54.590999999999</v>
      </c>
      <c r="L375" s="246" t="n">
        <f aca="false">'Fuel Calc'!M53</f>
        <v>50.9100000000001</v>
      </c>
      <c r="M375" s="246" t="n">
        <f aca="false">'Fuel Calc'!N53</f>
        <v>48.7630000000029</v>
      </c>
      <c r="N375" s="179" t="n">
        <f aca="false">SUM(B375:M375)</f>
        <v>648.580000000004</v>
      </c>
      <c r="O375" s="179"/>
      <c r="P375" s="188" t="e">
        <f aca="false">CHOOSE(#REF!,SUM(B375,B375),SUM(B375:C375),SUM(B375:D375),SUM(B375:E375),SUM(B375:F375),SUM(B375:G375),SUM(B375:H375),SUM(B375:I375),SUM(B375:J375),SUM(B375:K375),SUM(B375:L375),SUM(B375:M375))</f>
        <v>#REF!</v>
      </c>
      <c r="Q375" s="188" t="e">
        <f aca="false">N375-P375</f>
        <v>#REF!</v>
      </c>
      <c r="R375" s="188" t="n">
        <f aca="false">N375</f>
        <v>648.580000000004</v>
      </c>
      <c r="S375" s="239" t="e">
        <f aca="false">IF(#REF!=1,SUM(B375:D375),IF(#REF!=2,SUM(E375:G375),IF(#REF!=3,SUM(H375:J375),IF(#REF!=4,SUM(K375:M375),"    WRONG  "))))</f>
        <v>#REF!</v>
      </c>
      <c r="T375" s="179"/>
      <c r="U375" s="179"/>
    </row>
    <row r="376" customFormat="false" ht="12.75" hidden="false" customHeight="false" outlineLevel="0" collapsed="false">
      <c r="A376" s="185" t="s">
        <v>204</v>
      </c>
      <c r="B376" s="198" t="n">
        <f aca="false">'Fuel Calc'!C52</f>
        <v>26.3190000000014</v>
      </c>
      <c r="C376" s="198" t="n">
        <f aca="false">'Fuel Calc'!D52</f>
        <v>22.9320000000005</v>
      </c>
      <c r="D376" s="198" t="n">
        <f aca="false">'Fuel Calc'!E52</f>
        <v>24.8000000000004</v>
      </c>
      <c r="E376" s="198" t="n">
        <f aca="false">'Fuel Calc'!F52</f>
        <v>26.9999999999993</v>
      </c>
      <c r="F376" s="198" t="n">
        <f aca="false">'Fuel Calc'!G52</f>
        <v>31</v>
      </c>
      <c r="G376" s="198" t="n">
        <f aca="false">'Fuel Calc'!H52</f>
        <v>26.9999999999993</v>
      </c>
      <c r="H376" s="198" t="n">
        <f aca="false">'Fuel Calc'!I52</f>
        <v>18.5999999999998</v>
      </c>
      <c r="I376" s="198" t="n">
        <f aca="false">'Fuel Calc'!J52</f>
        <v>21.7000000000014</v>
      </c>
      <c r="J376" s="198" t="n">
        <f aca="false">'Fuel Calc'!K52</f>
        <v>24.0000000000003</v>
      </c>
      <c r="K376" s="198" t="n">
        <f aca="false">'Fuel Calc'!L52</f>
        <v>16.5385000000001</v>
      </c>
      <c r="L376" s="198" t="n">
        <f aca="false">'Fuel Calc'!M52</f>
        <v>18.8249999999999</v>
      </c>
      <c r="M376" s="198" t="n">
        <f aca="false">'Fuel Calc'!N52</f>
        <v>32.596500000001</v>
      </c>
      <c r="N376" s="205" t="n">
        <f aca="false">SUM(B376:M376)</f>
        <v>291.311000000004</v>
      </c>
      <c r="O376" s="247"/>
      <c r="P376" s="188" t="e">
        <f aca="false">CHOOSE(#REF!,SUM(B376,B376),SUM(B376:C376),SUM(B376:D376),SUM(B376:E376),SUM(B376:F376),SUM(B376:G376),SUM(B376:H376),SUM(B376:I376),SUM(B376:J376),SUM(B376:K376),SUM(B376:L376),SUM(B376:M376))</f>
        <v>#REF!</v>
      </c>
      <c r="Q376" s="188" t="e">
        <f aca="false">N376-P376</f>
        <v>#REF!</v>
      </c>
      <c r="R376" s="188" t="n">
        <f aca="false">N376</f>
        <v>291.311000000004</v>
      </c>
      <c r="S376" s="239" t="e">
        <f aca="false">IF(#REF!=1,SUM(B376:D376),IF(#REF!=2,SUM(E376:G376),IF(#REF!=3,SUM(H376:J376),IF(#REF!=4,SUM(K376:M376),"    WRONG  "))))</f>
        <v>#REF!</v>
      </c>
      <c r="T376" s="205"/>
      <c r="U376" s="205"/>
    </row>
    <row r="377" customFormat="false" ht="12.75" hidden="false" customHeight="false" outlineLevel="0" collapsed="false">
      <c r="A377" s="175" t="s">
        <v>205</v>
      </c>
      <c r="B377" s="22" t="n">
        <f aca="false">SUM(B371:B376)</f>
        <v>1949.838</v>
      </c>
      <c r="C377" s="22" t="n">
        <f aca="false">SUM(C371:C376)</f>
        <v>1768.256</v>
      </c>
      <c r="D377" s="22" t="n">
        <f aca="false">SUM(D371:D376)</f>
        <v>1946.8</v>
      </c>
      <c r="E377" s="22" t="n">
        <f aca="false">SUM(E371:E376)</f>
        <v>1936.59</v>
      </c>
      <c r="F377" s="22" t="n">
        <f aca="false">SUM(F371:F376)</f>
        <v>1946.8</v>
      </c>
      <c r="G377" s="22" t="n">
        <f aca="false">SUM(G371:G376)</f>
        <v>1875</v>
      </c>
      <c r="H377" s="22" t="n">
        <f aca="false">SUM(H371:H376)</f>
        <v>1974.7</v>
      </c>
      <c r="I377" s="22" t="n">
        <f aca="false">SUM(I371:I376)</f>
        <v>1993.3</v>
      </c>
      <c r="J377" s="22" t="n">
        <f aca="false">SUM(J371:J376)</f>
        <v>1773.00000000001</v>
      </c>
      <c r="K377" s="22" t="n">
        <f aca="false">SUM(K371:K376)</f>
        <v>1792.2555</v>
      </c>
      <c r="L377" s="22" t="n">
        <f aca="false">SUM(L371:L376)</f>
        <v>1763.255</v>
      </c>
      <c r="M377" s="22" t="n">
        <f aca="false">SUM(M371:M376)</f>
        <v>1839.567838</v>
      </c>
      <c r="N377" s="248" t="n">
        <f aca="false">SUM(B377:M377)</f>
        <v>22559.362338</v>
      </c>
      <c r="O377" s="249"/>
      <c r="P377" s="188" t="e">
        <f aca="false">CHOOSE(#REF!,SUM(B377,B377),SUM(B377:C377),SUM(B377:D377),SUM(B377:E377),SUM(B377:F377),SUM(B377:G377),SUM(B377:H377),SUM(B377:I377),SUM(B377:J377),SUM(B377:K377),SUM(B377:L377),SUM(B377:M377))</f>
        <v>#REF!</v>
      </c>
      <c r="Q377" s="188" t="e">
        <f aca="false">N377-P377</f>
        <v>#REF!</v>
      </c>
      <c r="R377" s="188" t="n">
        <f aca="false">N377</f>
        <v>22559.362338</v>
      </c>
      <c r="S377" s="188" t="e">
        <f aca="false">IF(#REF!=1,SUM(B377:D377),IF(#REF!=2,SUM(E377:G377),IF(#REF!=3,SUM(H377:J377),IF(#REF!=4,SUM(K377:M377),"    WRONG  "))))</f>
        <v>#REF!</v>
      </c>
      <c r="T377" s="214" t="n">
        <f aca="false">SUM(T371:T376)</f>
        <v>0</v>
      </c>
      <c r="U377" s="214" t="n">
        <f aca="false">SUM(U371:U376)</f>
        <v>0</v>
      </c>
    </row>
    <row r="378" customFormat="false" ht="12.75" hidden="false" customHeight="false" outlineLevel="0" collapsed="false">
      <c r="A378" s="175" t="s">
        <v>206</v>
      </c>
      <c r="B378" s="22" t="n">
        <f aca="false">'Fuel Calc'!C59</f>
        <v>-996</v>
      </c>
      <c r="C378" s="22" t="n">
        <f aca="false">'Fuel Calc'!D59</f>
        <v>-898</v>
      </c>
      <c r="D378" s="22" t="n">
        <f aca="false">'Fuel Calc'!E59</f>
        <v>-988</v>
      </c>
      <c r="E378" s="22" t="n">
        <f aca="false">'Fuel Calc'!F59</f>
        <v>-1090</v>
      </c>
      <c r="F378" s="22" t="n">
        <f aca="false">'Fuel Calc'!G59</f>
        <v>-1099</v>
      </c>
      <c r="G378" s="22" t="n">
        <f aca="false">'Fuel Calc'!H59</f>
        <v>-1042</v>
      </c>
      <c r="H378" s="22" t="n">
        <f aca="false">'Fuel Calc'!I59</f>
        <v>-1022</v>
      </c>
      <c r="I378" s="22" t="n">
        <f aca="false">'Fuel Calc'!J59</f>
        <v>-1028</v>
      </c>
      <c r="J378" s="22" t="n">
        <f aca="false">'Fuel Calc'!K59</f>
        <v>-958</v>
      </c>
      <c r="K378" s="22" t="n">
        <f aca="false">'Fuel Calc'!L59</f>
        <v>-904</v>
      </c>
      <c r="L378" s="22" t="n">
        <f aca="false">'Fuel Calc'!M59</f>
        <v>-923</v>
      </c>
      <c r="M378" s="22" t="n">
        <f aca="false">'Fuel Calc'!N59</f>
        <v>-1054</v>
      </c>
      <c r="N378" s="248" t="n">
        <f aca="false">SUM(B378:M378)</f>
        <v>-12002</v>
      </c>
      <c r="O378" s="249"/>
      <c r="P378" s="188" t="e">
        <f aca="false">CHOOSE(#REF!,SUM(B378,B378),SUM(B378:C378),SUM(B378:D378),SUM(B378:E378),SUM(B378:F378),SUM(B378:G378),SUM(B378:H378),SUM(B378:I378),SUM(B378:J378),SUM(B378:K378),SUM(B378:L378),SUM(B378:M378))</f>
        <v>#REF!</v>
      </c>
      <c r="Q378" s="250" t="e">
        <f aca="false">N378-P378</f>
        <v>#REF!</v>
      </c>
      <c r="R378" s="188" t="n">
        <f aca="false">N378</f>
        <v>-12002</v>
      </c>
      <c r="S378" s="188" t="e">
        <f aca="false">IF(#REF!=1,SUM(B378:D378),IF(#REF!=2,SUM(E378:G378),IF(#REF!=3,SUM(H378:J378),IF(#REF!=4,SUM(K378:M378),"    WRONG  "))))</f>
        <v>#REF!</v>
      </c>
      <c r="T378" s="214" t="e">
        <f aca="false">-#REF!</f>
        <v>#REF!</v>
      </c>
      <c r="U378" s="214" t="e">
        <f aca="false">-#REF!</f>
        <v>#REF!</v>
      </c>
    </row>
    <row r="379" customFormat="false" ht="13.5" hidden="false" customHeight="false" outlineLevel="0" collapsed="false">
      <c r="A379" s="175" t="s">
        <v>207</v>
      </c>
      <c r="B379" s="251" t="n">
        <f aca="false">B377-B378</f>
        <v>2945.838</v>
      </c>
      <c r="C379" s="251" t="n">
        <f aca="false">C377-C378</f>
        <v>2666.256</v>
      </c>
      <c r="D379" s="251" t="n">
        <f aca="false">D377-D378</f>
        <v>2934.8</v>
      </c>
      <c r="E379" s="251" t="n">
        <f aca="false">E377-E378</f>
        <v>3026.59</v>
      </c>
      <c r="F379" s="251" t="n">
        <f aca="false">F377-F378</f>
        <v>3045.8</v>
      </c>
      <c r="G379" s="251" t="n">
        <f aca="false">G377-G378</f>
        <v>2917</v>
      </c>
      <c r="H379" s="251" t="n">
        <f aca="false">H377-H378</f>
        <v>2996.7</v>
      </c>
      <c r="I379" s="251" t="n">
        <f aca="false">I377-I378</f>
        <v>3021.3</v>
      </c>
      <c r="J379" s="251" t="n">
        <f aca="false">J377-J378</f>
        <v>2731.00000000001</v>
      </c>
      <c r="K379" s="251" t="n">
        <f aca="false">K377-K378</f>
        <v>2696.2555</v>
      </c>
      <c r="L379" s="251" t="n">
        <f aca="false">L377-L378</f>
        <v>2686.255</v>
      </c>
      <c r="M379" s="251" t="n">
        <f aca="false">M377-M378</f>
        <v>2893.567838</v>
      </c>
      <c r="N379" s="252" t="n">
        <f aca="false">SUM(B379:M379)</f>
        <v>34561.362338</v>
      </c>
      <c r="O379" s="249"/>
      <c r="P379" s="188" t="e">
        <f aca="false">CHOOSE(#REF!,SUM(B379,B379),SUM(B379:C379),SUM(B379:D379),SUM(B379:E379),SUM(B379:F379),SUM(B379:G379),SUM(B379:H379),SUM(B379:I379),SUM(B379:J379),SUM(B379:K379),SUM(B379:L379),SUM(B379:M379))</f>
        <v>#REF!</v>
      </c>
      <c r="Q379" s="188" t="e">
        <f aca="false">N379-P379</f>
        <v>#REF!</v>
      </c>
      <c r="R379" s="188" t="n">
        <f aca="false">N379</f>
        <v>34561.362338</v>
      </c>
      <c r="S379" s="188" t="e">
        <f aca="false">IF(#REF!=1,SUM(B379:D379),IF(#REF!=2,SUM(E379:G379),IF(#REF!=3,SUM(H379:J379),IF(#REF!=4,SUM(K379:M379),"    WRONG  "))))</f>
        <v>#REF!</v>
      </c>
      <c r="T379" s="251" t="e">
        <f aca="false">T377-T378</f>
        <v>#REF!</v>
      </c>
      <c r="U379" s="251" t="e">
        <f aca="false">U377-U378</f>
        <v>#REF!</v>
      </c>
    </row>
    <row r="380" customFormat="false" ht="13.5" hidden="false" customHeight="false" outlineLevel="0" collapsed="false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179"/>
      <c r="O380" s="179"/>
      <c r="P380" s="180"/>
      <c r="Q380" s="180"/>
      <c r="R380" s="180"/>
      <c r="S380" s="188"/>
      <c r="T380" s="179"/>
      <c r="U380" s="179"/>
    </row>
    <row r="381" customFormat="false" ht="12.75" hidden="false" customHeight="false" outlineLevel="0" collapsed="false">
      <c r="A381" s="175" t="s">
        <v>208</v>
      </c>
      <c r="B381" s="253" t="n">
        <v>8.21</v>
      </c>
      <c r="C381" s="253" t="n">
        <v>5.62</v>
      </c>
      <c r="D381" s="253" t="n">
        <v>4.98</v>
      </c>
      <c r="E381" s="253" t="n">
        <v>4.87</v>
      </c>
      <c r="F381" s="253" t="n">
        <v>3.82</v>
      </c>
      <c r="G381" s="253" t="n">
        <v>3.19</v>
      </c>
      <c r="H381" s="253" t="n">
        <v>2.77</v>
      </c>
      <c r="I381" s="254" t="n">
        <v>2.77</v>
      </c>
      <c r="J381" s="254" t="n">
        <v>1.95</v>
      </c>
      <c r="K381" s="254" t="n">
        <v>2.28</v>
      </c>
      <c r="L381" s="254" t="n">
        <v>2.53</v>
      </c>
      <c r="M381" s="254" t="n">
        <v>2.85</v>
      </c>
      <c r="N381" s="255" t="n">
        <f aca="false">AVERAGE(B381:M381)</f>
        <v>3.82</v>
      </c>
      <c r="O381" s="256"/>
      <c r="P381" s="257" t="e">
        <f aca="false"/>
        <v>#REF!</v>
      </c>
      <c r="Q381" s="258"/>
      <c r="R381" s="259" t="n">
        <v>2.36441666666667</v>
      </c>
      <c r="S381" s="257" t="e">
        <f aca="false"/>
        <v>#REF!</v>
      </c>
      <c r="T381" s="260" t="n">
        <v>2.37</v>
      </c>
      <c r="U381" s="260" t="n">
        <v>2.37</v>
      </c>
    </row>
    <row r="382" customFormat="false" ht="12.75" hidden="false" customHeight="false" outlineLevel="0" collapsed="false">
      <c r="A382" s="62" t="s">
        <v>177</v>
      </c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179"/>
      <c r="O382" s="179"/>
      <c r="P382" s="180"/>
      <c r="Q382" s="180"/>
      <c r="R382" s="180"/>
      <c r="S382" s="180"/>
      <c r="T382" s="179"/>
      <c r="U382" s="179"/>
    </row>
    <row r="383" customFormat="false" ht="12.75" hidden="false" customHeight="false" outlineLevel="0" collapsed="false">
      <c r="B383" s="261" t="n">
        <v>2.36</v>
      </c>
      <c r="C383" s="261" t="n">
        <v>2.36</v>
      </c>
      <c r="D383" s="261" t="n">
        <v>2.36</v>
      </c>
      <c r="E383" s="261" t="n">
        <v>2.36</v>
      </c>
      <c r="F383" s="261" t="n">
        <v>2.36</v>
      </c>
      <c r="G383" s="261" t="n">
        <v>2.36</v>
      </c>
      <c r="H383" s="261" t="n">
        <v>2.36</v>
      </c>
      <c r="I383" s="261" t="n">
        <v>2.36</v>
      </c>
      <c r="J383" s="261" t="n">
        <v>2.36</v>
      </c>
      <c r="K383" s="261" t="n">
        <v>2.36</v>
      </c>
      <c r="L383" s="261" t="n">
        <v>2.36</v>
      </c>
      <c r="M383" s="261" t="n">
        <v>2.36</v>
      </c>
      <c r="N383" s="262"/>
      <c r="O383" s="262"/>
      <c r="P383" s="261"/>
      <c r="Q383" s="261"/>
      <c r="R383" s="261"/>
      <c r="S383" s="261"/>
      <c r="T383" s="262"/>
      <c r="U383" s="262"/>
    </row>
    <row r="384" customFormat="false" ht="12.75" hidden="false" customHeight="false" outlineLevel="0" collapsed="false">
      <c r="B384" s="263" t="n">
        <v>4.293</v>
      </c>
      <c r="C384" s="263" t="n">
        <v>4.043</v>
      </c>
      <c r="D384" s="263" t="n">
        <v>3.783</v>
      </c>
      <c r="E384" s="263" t="n">
        <v>3.6</v>
      </c>
      <c r="F384" s="263" t="n">
        <v>3.5</v>
      </c>
      <c r="G384" s="263" t="n">
        <v>3.48</v>
      </c>
      <c r="H384" s="263" t="n">
        <v>3.42</v>
      </c>
      <c r="I384" s="263" t="n">
        <v>3.455</v>
      </c>
      <c r="J384" s="263" t="n">
        <v>3.43</v>
      </c>
      <c r="K384" s="263" t="n">
        <v>3.43</v>
      </c>
      <c r="L384" s="263" t="n">
        <v>3.433</v>
      </c>
      <c r="M384" s="263" t="n">
        <v>3.513</v>
      </c>
      <c r="N384" s="262"/>
      <c r="O384" s="262"/>
      <c r="P384" s="261"/>
      <c r="Q384" s="261"/>
      <c r="R384" s="261"/>
      <c r="S384" s="261"/>
      <c r="T384" s="262"/>
      <c r="U384" s="262"/>
    </row>
    <row r="385" customFormat="false" ht="12.75" hidden="false" customHeight="false" outlineLevel="0" collapsed="false">
      <c r="B385" s="263" t="n">
        <f aca="false">(B384+B383)/2</f>
        <v>3.3265</v>
      </c>
      <c r="C385" s="263" t="n">
        <f aca="false">(C384+C383)/2</f>
        <v>3.2015</v>
      </c>
      <c r="D385" s="263" t="n">
        <f aca="false">(D384+D383)/2</f>
        <v>3.0715</v>
      </c>
      <c r="E385" s="263" t="n">
        <f aca="false">(E384+E383)/2</f>
        <v>2.98</v>
      </c>
      <c r="F385" s="263" t="n">
        <f aca="false">(F384+F383)/2</f>
        <v>2.93</v>
      </c>
      <c r="G385" s="263" t="n">
        <f aca="false">(G384+G383)/2</f>
        <v>2.92</v>
      </c>
      <c r="H385" s="263" t="n">
        <f aca="false">(H384+H383)/2</f>
        <v>2.89</v>
      </c>
      <c r="I385" s="263" t="n">
        <f aca="false">(I384+I383)/2</f>
        <v>2.9075</v>
      </c>
      <c r="J385" s="263" t="n">
        <f aca="false">(J384+J383)/2</f>
        <v>2.895</v>
      </c>
      <c r="K385" s="263" t="n">
        <f aca="false">(K384+K383)/2</f>
        <v>2.895</v>
      </c>
      <c r="L385" s="263" t="n">
        <f aca="false">(L384+L383)/2</f>
        <v>2.8965</v>
      </c>
      <c r="M385" s="263" t="n">
        <f aca="false">(M384+M383)/2</f>
        <v>2.9365</v>
      </c>
      <c r="N385" s="256" t="n">
        <f aca="false">AVERAGE(B385:M385)</f>
        <v>2.9875</v>
      </c>
      <c r="O385" s="256"/>
      <c r="P385" s="261"/>
      <c r="Q385" s="261"/>
      <c r="R385" s="261"/>
      <c r="S385" s="261"/>
      <c r="T385" s="262"/>
      <c r="U385" s="262"/>
    </row>
    <row r="386" customFormat="false" ht="12.75" hidden="false" customHeight="false" outlineLevel="0" collapsed="false">
      <c r="B386" s="264" t="n">
        <f aca="false">B385*(3.5/2.9875)</f>
        <v>3.89715481171548</v>
      </c>
      <c r="C386" s="264" t="n">
        <f aca="false">C385*(3.5/2.9875)</f>
        <v>3.75071129707113</v>
      </c>
      <c r="D386" s="264" t="n">
        <f aca="false">D385*(3.5/2.9875)</f>
        <v>3.598410041841</v>
      </c>
      <c r="E386" s="264" t="n">
        <f aca="false">E385*(3.5/2.9875)</f>
        <v>3.49121338912134</v>
      </c>
      <c r="F386" s="264" t="n">
        <f aca="false">F385*(3.5/2.9875)</f>
        <v>3.4326359832636</v>
      </c>
      <c r="G386" s="264" t="n">
        <f aca="false">G385*(3.5/2.9875)</f>
        <v>3.42092050209205</v>
      </c>
      <c r="H386" s="264" t="n">
        <f aca="false">H385*(3.5/2.9875)</f>
        <v>3.38577405857741</v>
      </c>
      <c r="I386" s="264" t="n">
        <f aca="false">I385*(3.5/2.9875)</f>
        <v>3.40627615062762</v>
      </c>
      <c r="J386" s="264" t="n">
        <f aca="false">J385*(3.5/2.9875)</f>
        <v>3.39163179916318</v>
      </c>
      <c r="K386" s="264" t="n">
        <f aca="false">K385*(3.5/2.9875)</f>
        <v>3.39163179916318</v>
      </c>
      <c r="L386" s="264" t="n">
        <f aca="false">L385*(3.5/2.9875)</f>
        <v>3.39338912133891</v>
      </c>
      <c r="M386" s="264" t="n">
        <f aca="false">M385*(3.5/2.9875)</f>
        <v>3.4402510460251</v>
      </c>
      <c r="N386" s="256" t="n">
        <f aca="false">AVERAGE(B386:M386)</f>
        <v>3.5</v>
      </c>
      <c r="O386" s="256"/>
      <c r="P386" s="261"/>
      <c r="Q386" s="261"/>
      <c r="R386" s="261"/>
      <c r="S386" s="261"/>
      <c r="T386" s="262"/>
      <c r="U386" s="262"/>
    </row>
    <row r="387" customFormat="false" ht="12.75" hidden="false" customHeight="false" outlineLevel="0" collapsed="false">
      <c r="A387" s="152" t="s">
        <v>209</v>
      </c>
    </row>
    <row r="388" customFormat="false" ht="15.75" hidden="false" customHeight="false" outlineLevel="0" collapsed="false">
      <c r="A388" s="53" t="s">
        <v>210</v>
      </c>
      <c r="B388" s="265" t="n">
        <v>-45</v>
      </c>
      <c r="C388" s="265" t="n">
        <v>-45</v>
      </c>
      <c r="D388" s="265" t="n">
        <v>-45</v>
      </c>
      <c r="E388" s="265" t="n">
        <v>-45</v>
      </c>
      <c r="F388" s="265" t="n">
        <v>-45</v>
      </c>
      <c r="G388" s="265" t="n">
        <v>-45</v>
      </c>
      <c r="H388" s="265"/>
      <c r="I388" s="265"/>
      <c r="J388" s="265"/>
      <c r="K388" s="265"/>
      <c r="L388" s="265"/>
      <c r="M388" s="265"/>
      <c r="N388" s="266" t="n">
        <f aca="false">AVERAGE(B388:M388)</f>
        <v>-45</v>
      </c>
    </row>
    <row r="389" customFormat="false" ht="15.75" hidden="false" customHeight="false" outlineLevel="0" collapsed="false">
      <c r="A389" s="53" t="s">
        <v>211</v>
      </c>
      <c r="B389" s="265" t="n">
        <f aca="false">-139-42-7-10-4</f>
        <v>-202</v>
      </c>
      <c r="C389" s="265" t="n">
        <f aca="false">-138-42-7-10--4</f>
        <v>-193</v>
      </c>
      <c r="D389" s="265" t="n">
        <f aca="false">-138-42-7-10-4</f>
        <v>-201</v>
      </c>
      <c r="E389" s="265" t="n">
        <f aca="false">-108-72-7-10-4</f>
        <v>-201</v>
      </c>
      <c r="F389" s="265" t="n">
        <f aca="false">-(108+72+7+10+4)</f>
        <v>-201</v>
      </c>
      <c r="G389" s="265" t="n">
        <f aca="false">-108-72-7-10-4</f>
        <v>-201</v>
      </c>
      <c r="H389" s="265"/>
      <c r="I389" s="265"/>
      <c r="J389" s="265"/>
      <c r="K389" s="265"/>
      <c r="L389" s="265"/>
      <c r="M389" s="265"/>
      <c r="N389" s="266" t="n">
        <f aca="false">AVERAGE(B389:M389)</f>
        <v>-199.833333333333</v>
      </c>
    </row>
    <row r="390" customFormat="false" ht="15.75" hidden="false" customHeight="false" outlineLevel="0" collapsed="false">
      <c r="A390" s="53" t="s">
        <v>212</v>
      </c>
      <c r="B390" s="265" t="n">
        <v>-10</v>
      </c>
      <c r="C390" s="265" t="n">
        <v>-10</v>
      </c>
      <c r="D390" s="265" t="n">
        <v>-10</v>
      </c>
      <c r="E390" s="265" t="n">
        <v>-10</v>
      </c>
      <c r="F390" s="267" t="n">
        <v>-10</v>
      </c>
      <c r="G390" s="265" t="n">
        <v>-10</v>
      </c>
      <c r="H390" s="265"/>
      <c r="I390" s="265"/>
      <c r="J390" s="265"/>
      <c r="K390" s="265"/>
      <c r="L390" s="265"/>
      <c r="M390" s="265"/>
      <c r="N390" s="266" t="n">
        <f aca="false">AVERAGE(B390:M390)</f>
        <v>-10</v>
      </c>
    </row>
    <row r="391" customFormat="false" ht="15.75" hidden="false" customHeight="false" outlineLevel="0" collapsed="false">
      <c r="A391" s="152" t="s">
        <v>213</v>
      </c>
      <c r="B391" s="265" t="n">
        <f aca="false">SUM(B388:B390)</f>
        <v>-257</v>
      </c>
      <c r="C391" s="265" t="n">
        <f aca="false">SUM(C388:C390)</f>
        <v>-248</v>
      </c>
      <c r="D391" s="265" t="n">
        <f aca="false">SUM(D388:D390)</f>
        <v>-256</v>
      </c>
      <c r="E391" s="265" t="n">
        <f aca="false">SUM(E388:E390)</f>
        <v>-256</v>
      </c>
      <c r="F391" s="265" t="n">
        <f aca="false">SUM(F388:F390)</f>
        <v>-256</v>
      </c>
      <c r="G391" s="265" t="n">
        <f aca="false">SUM(G388:G390)</f>
        <v>-256</v>
      </c>
      <c r="H391" s="265"/>
      <c r="I391" s="265"/>
      <c r="J391" s="265"/>
      <c r="K391" s="265"/>
      <c r="L391" s="265"/>
      <c r="M391" s="265"/>
      <c r="N391" s="266" t="n">
        <f aca="false">AVERAGE(B391:M391)</f>
        <v>-254.833333333333</v>
      </c>
    </row>
    <row r="392" customFormat="false" ht="15.75" hidden="false" customHeight="false" outlineLevel="0" collapsed="false">
      <c r="A392" s="152"/>
      <c r="B392" s="265"/>
      <c r="C392" s="265"/>
      <c r="D392" s="265"/>
      <c r="E392" s="265"/>
      <c r="F392" s="265"/>
      <c r="G392" s="265"/>
      <c r="H392" s="265"/>
      <c r="I392" s="265"/>
      <c r="J392" s="265"/>
      <c r="K392" s="265"/>
      <c r="L392" s="265"/>
      <c r="M392" s="265"/>
      <c r="N392" s="266"/>
    </row>
    <row r="393" customFormat="false" ht="15.75" hidden="false" customHeight="false" outlineLevel="0" collapsed="false">
      <c r="A393" s="152" t="s">
        <v>214</v>
      </c>
      <c r="B393" s="265" t="n">
        <v>-237</v>
      </c>
      <c r="C393" s="265" t="n">
        <v>-887</v>
      </c>
      <c r="D393" s="265" t="n">
        <v>-170</v>
      </c>
      <c r="E393" s="265" t="n">
        <v>816</v>
      </c>
      <c r="F393" s="265" t="n">
        <v>0</v>
      </c>
      <c r="G393" s="265" t="n">
        <v>0</v>
      </c>
      <c r="H393" s="265"/>
      <c r="I393" s="265"/>
      <c r="J393" s="265"/>
      <c r="K393" s="265"/>
      <c r="L393" s="265"/>
      <c r="M393" s="265"/>
      <c r="N393" s="266" t="n">
        <f aca="false">AVERAGE(B393:M393)</f>
        <v>-79.6666666666667</v>
      </c>
    </row>
    <row r="394" customFormat="false" ht="15.75" hidden="false" customHeight="false" outlineLevel="0" collapsed="false">
      <c r="A394" s="152" t="s">
        <v>215</v>
      </c>
      <c r="B394" s="265" t="n">
        <v>24</v>
      </c>
      <c r="C394" s="265" t="n">
        <v>24</v>
      </c>
      <c r="D394" s="265" t="n">
        <v>24</v>
      </c>
      <c r="E394" s="265" t="n">
        <f aca="false">23</f>
        <v>23</v>
      </c>
      <c r="F394" s="267" t="n">
        <v>77</v>
      </c>
      <c r="G394" s="265" t="n">
        <v>24</v>
      </c>
      <c r="H394" s="265"/>
      <c r="I394" s="265"/>
      <c r="J394" s="265"/>
      <c r="K394" s="265"/>
      <c r="L394" s="265"/>
      <c r="M394" s="265"/>
      <c r="N394" s="266" t="n">
        <f aca="false">AVERAGE(B394:M394)</f>
        <v>32.6666666666667</v>
      </c>
    </row>
    <row r="395" customFormat="false" ht="15.75" hidden="false" customHeight="false" outlineLevel="0" collapsed="false">
      <c r="A395" s="152" t="s">
        <v>216</v>
      </c>
      <c r="B395" s="265" t="n">
        <f aca="false">B391+B393+B394</f>
        <v>-470</v>
      </c>
      <c r="C395" s="265" t="n">
        <f aca="false">C391+C393+C394</f>
        <v>-1111</v>
      </c>
      <c r="D395" s="265" t="n">
        <f aca="false">D391+D393+D394</f>
        <v>-402</v>
      </c>
      <c r="E395" s="265" t="n">
        <f aca="false">E391+E393+E394</f>
        <v>583</v>
      </c>
      <c r="F395" s="265" t="n">
        <f aca="false">F391+F393+F394</f>
        <v>-179</v>
      </c>
      <c r="G395" s="265" t="n">
        <f aca="false">G391+G393+G394</f>
        <v>-232</v>
      </c>
      <c r="H395" s="265"/>
      <c r="I395" s="265"/>
      <c r="J395" s="265"/>
      <c r="K395" s="265"/>
      <c r="L395" s="265"/>
      <c r="M395" s="265"/>
      <c r="N395" s="266" t="n">
        <f aca="false">AVERAGE(B395:M395)</f>
        <v>-301.833333333333</v>
      </c>
    </row>
    <row r="396" customFormat="false" ht="15.75" hidden="false" customHeight="false" outlineLevel="0" collapsed="false">
      <c r="A396" s="152"/>
      <c r="B396" s="265"/>
      <c r="C396" s="265"/>
      <c r="D396" s="265"/>
      <c r="E396" s="265"/>
      <c r="F396" s="265"/>
      <c r="G396" s="265"/>
      <c r="H396" s="265"/>
      <c r="I396" s="265"/>
      <c r="J396" s="265"/>
      <c r="K396" s="265"/>
      <c r="L396" s="265"/>
      <c r="M396" s="265"/>
      <c r="N396" s="266"/>
    </row>
    <row r="397" customFormat="false" ht="15.75" hidden="false" customHeight="false" outlineLevel="0" collapsed="false">
      <c r="A397" s="152" t="s">
        <v>217</v>
      </c>
      <c r="B397" s="268" t="n">
        <f aca="false">B309+B395</f>
        <v>17830</v>
      </c>
      <c r="C397" s="268" t="n">
        <f aca="false">C309+C395</f>
        <v>21456.635</v>
      </c>
      <c r="D397" s="268" t="n">
        <f aca="false">D309+D395</f>
        <v>9218.958</v>
      </c>
      <c r="E397" s="268" t="n">
        <f aca="false">E309+E395</f>
        <v>18059.1</v>
      </c>
      <c r="F397" s="268" t="n">
        <f aca="false">F309+F395</f>
        <v>18413.758</v>
      </c>
      <c r="G397" s="268" t="n">
        <f aca="false">G309+G395</f>
        <v>16576.44</v>
      </c>
      <c r="H397" s="265"/>
      <c r="I397" s="265"/>
      <c r="J397" s="265"/>
      <c r="K397" s="265"/>
      <c r="L397" s="265"/>
      <c r="M397" s="265"/>
      <c r="N397" s="269" t="n">
        <f aca="false">SUM(B397:M397)</f>
        <v>101554.891</v>
      </c>
    </row>
    <row r="398" customFormat="false" ht="15.75" hidden="false" customHeight="false" outlineLevel="0" collapsed="false">
      <c r="A398" s="152" t="s">
        <v>218</v>
      </c>
      <c r="B398" s="265" t="n">
        <v>17832</v>
      </c>
      <c r="C398" s="265" t="n">
        <v>21448</v>
      </c>
      <c r="D398" s="265" t="n">
        <v>9217</v>
      </c>
      <c r="E398" s="265" t="n">
        <v>18060</v>
      </c>
      <c r="F398" s="265" t="n">
        <v>18414</v>
      </c>
      <c r="G398" s="265" t="n">
        <v>16577</v>
      </c>
      <c r="H398" s="265"/>
      <c r="I398" s="265"/>
      <c r="J398" s="265"/>
      <c r="K398" s="265"/>
      <c r="L398" s="265"/>
      <c r="M398" s="265"/>
      <c r="N398" s="269" t="n">
        <f aca="false">SUM(B398:M398)</f>
        <v>101548</v>
      </c>
    </row>
    <row r="399" customFormat="false" ht="15.75" hidden="false" customHeight="false" outlineLevel="0" collapsed="false">
      <c r="A399" s="53" t="s">
        <v>219</v>
      </c>
      <c r="B399" s="268" t="n">
        <f aca="false">B398-B397</f>
        <v>2</v>
      </c>
      <c r="C399" s="268" t="n">
        <f aca="false">C398-C397</f>
        <v>-8.6349999999984</v>
      </c>
      <c r="D399" s="268" t="n">
        <f aca="false">D398-D397</f>
        <v>-1.95800000000054</v>
      </c>
      <c r="E399" s="268" t="n">
        <f aca="false">E398-E397</f>
        <v>0.900000000001455</v>
      </c>
      <c r="F399" s="268" t="n">
        <f aca="false">F398-F397</f>
        <v>0.241999999994732</v>
      </c>
      <c r="G399" s="268" t="n">
        <f aca="false">G398-G397</f>
        <v>0.56000000000131</v>
      </c>
      <c r="H399" s="265"/>
      <c r="I399" s="265"/>
      <c r="J399" s="265"/>
      <c r="K399" s="265"/>
      <c r="L399" s="265"/>
      <c r="M399" s="265"/>
      <c r="N399" s="269" t="n">
        <v>84967</v>
      </c>
    </row>
    <row r="400" customFormat="false" ht="15.75" hidden="false" customHeight="false" outlineLevel="0" collapsed="false">
      <c r="B400" s="265"/>
      <c r="C400" s="265"/>
      <c r="D400" s="265"/>
      <c r="E400" s="265" t="n">
        <f aca="false">SUM(B398:D398)</f>
        <v>48497</v>
      </c>
      <c r="F400" s="265" t="n">
        <f aca="false">SUM(B398:E398)</f>
        <v>66557</v>
      </c>
      <c r="G400" s="265" t="n">
        <f aca="false">SUM(B398:F398)</f>
        <v>84971</v>
      </c>
      <c r="H400" s="265"/>
      <c r="I400" s="265"/>
      <c r="J400" s="265"/>
      <c r="K400" s="265"/>
      <c r="L400" s="265"/>
      <c r="M400" s="265"/>
      <c r="N400" s="269" t="n">
        <f aca="false">N399-N398</f>
        <v>-16581</v>
      </c>
    </row>
    <row r="401" customFormat="false" ht="15.75" hidden="false" customHeight="false" outlineLevel="0" collapsed="false">
      <c r="B401" s="265"/>
      <c r="C401" s="265"/>
      <c r="D401" s="265"/>
      <c r="E401" s="265"/>
      <c r="F401" s="265"/>
      <c r="G401" s="265"/>
      <c r="H401" s="265"/>
      <c r="I401" s="265"/>
      <c r="J401" s="265"/>
      <c r="K401" s="265"/>
      <c r="L401" s="265"/>
      <c r="M401" s="265"/>
      <c r="N401" s="269" t="n">
        <f aca="false">N397-N399</f>
        <v>16587.891</v>
      </c>
    </row>
  </sheetData>
  <mergeCells count="3">
    <mergeCell ref="A3:U3"/>
    <mergeCell ref="A4:U4"/>
    <mergeCell ref="A5:U5"/>
  </mergeCells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4" manualBreakCount="14">
    <brk id="75" man="true" max="16383" min="0"/>
    <brk id="117" man="true" max="16383" min="0"/>
    <brk id="184" man="true" max="16383" min="0"/>
    <brk id="254" man="true" max="16383" min="0"/>
    <brk id="294" man="true" max="16383" min="0"/>
    <brk id="346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1" activeCellId="0" sqref="C11"/>
    </sheetView>
  </sheetViews>
  <sheetFormatPr defaultColWidth="9.59375" defaultRowHeight="18" customHeight="true" zeroHeight="false" outlineLevelRow="0" outlineLevelCol="0"/>
  <cols>
    <col collapsed="false" customWidth="true" hidden="false" outlineLevel="0" max="1" min="1" style="270" width="79.59"/>
    <col collapsed="false" customWidth="true" hidden="false" outlineLevel="0" max="2" min="2" style="270" width="2.38"/>
    <col collapsed="false" customWidth="true" hidden="false" outlineLevel="0" max="3" min="3" style="270" width="10.99"/>
    <col collapsed="false" customWidth="true" hidden="false" outlineLevel="0" max="4" min="4" style="270" width="2.38"/>
    <col collapsed="false" customWidth="true" hidden="false" outlineLevel="0" max="5" min="5" style="270" width="15.19"/>
    <col collapsed="false" customWidth="true" hidden="false" outlineLevel="0" max="6" min="6" style="270" width="2.59"/>
    <col collapsed="false" customWidth="true" hidden="false" outlineLevel="0" max="7" min="7" style="270" width="16.59"/>
    <col collapsed="false" customWidth="true" hidden="false" outlineLevel="0" max="8" min="8" style="270" width="2.78"/>
    <col collapsed="false" customWidth="true" hidden="false" outlineLevel="0" max="9" min="9" style="270" width="12.39"/>
    <col collapsed="false" customWidth="true" hidden="false" outlineLevel="0" max="10" min="10" style="270" width="1.39"/>
    <col collapsed="false" customWidth="true" hidden="false" outlineLevel="0" max="11" min="11" style="270" width="17.59"/>
    <col collapsed="false" customWidth="true" hidden="false" outlineLevel="0" max="12" min="12" style="270" width="1.98"/>
    <col collapsed="false" customWidth="true" hidden="false" outlineLevel="0" max="13" min="13" style="270" width="17.39"/>
    <col collapsed="false" customWidth="true" hidden="false" outlineLevel="0" max="14" min="14" style="270" width="2.59"/>
    <col collapsed="false" customWidth="true" hidden="false" outlineLevel="0" max="15" min="15" style="270" width="11.19"/>
    <col collapsed="false" customWidth="true" hidden="false" outlineLevel="0" max="16" min="16" style="270" width="1.98"/>
    <col collapsed="false" customWidth="true" hidden="false" outlineLevel="0" max="17" min="17" style="270" width="15.59"/>
    <col collapsed="false" customWidth="true" hidden="false" outlineLevel="0" max="18" min="18" style="270" width="1.59"/>
    <col collapsed="false" customWidth="true" hidden="false" outlineLevel="0" max="19" min="19" style="270" width="16.19"/>
    <col collapsed="false" customWidth="true" hidden="false" outlineLevel="0" max="20" min="20" style="270" width="2.59"/>
    <col collapsed="false" customWidth="false" hidden="false" outlineLevel="0" max="257" min="21" style="270" width="9.59"/>
  </cols>
  <sheetData>
    <row r="1" customFormat="false" ht="18" hidden="false" customHeight="false" outlineLevel="0" collapsed="false">
      <c r="A1" s="67" t="s">
        <v>85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customFormat="false" ht="18" hidden="false" customHeight="false" outlineLevel="0" collapsed="false">
      <c r="A2" s="67" t="s">
        <v>220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customFormat="false" ht="18" hidden="false" customHeight="false" outlineLevel="0" collapsed="false">
      <c r="A3" s="67" t="s">
        <v>221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customFormat="false" ht="18" hidden="false" customHeight="false" outlineLevel="0" collapsed="false">
      <c r="A4" s="67" t="s">
        <v>222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customFormat="false" ht="18" hidden="false" customHeight="false" outlineLevel="0" collapsed="false">
      <c r="A5" s="69"/>
    </row>
    <row r="6" customFormat="false" ht="18" hidden="false" customHeight="false" outlineLevel="0" collapsed="false">
      <c r="A6" s="69"/>
    </row>
    <row r="7" customFormat="false" ht="18" hidden="false" customHeight="false" outlineLevel="0" collapsed="false">
      <c r="C7" s="271"/>
      <c r="D7" s="272"/>
      <c r="E7" s="273" t="n">
        <v>1998</v>
      </c>
      <c r="F7" s="272"/>
      <c r="G7" s="274" t="n">
        <v>365</v>
      </c>
      <c r="I7" s="271"/>
      <c r="J7" s="272"/>
      <c r="K7" s="273" t="n">
        <v>1999</v>
      </c>
      <c r="L7" s="272"/>
      <c r="M7" s="274" t="n">
        <v>365</v>
      </c>
      <c r="O7" s="271"/>
      <c r="P7" s="272"/>
      <c r="Q7" s="273" t="n">
        <v>2000</v>
      </c>
      <c r="R7" s="272"/>
      <c r="S7" s="274" t="n">
        <v>365</v>
      </c>
    </row>
    <row r="8" customFormat="false" ht="18" hidden="false" customHeight="false" outlineLevel="0" collapsed="false">
      <c r="C8" s="275" t="s">
        <v>223</v>
      </c>
      <c r="D8" s="276"/>
      <c r="E8" s="277" t="s">
        <v>224</v>
      </c>
      <c r="F8" s="276"/>
      <c r="G8" s="278" t="s">
        <v>225</v>
      </c>
      <c r="I8" s="275" t="s">
        <v>223</v>
      </c>
      <c r="J8" s="276"/>
      <c r="K8" s="277" t="s">
        <v>224</v>
      </c>
      <c r="L8" s="276"/>
      <c r="M8" s="278" t="s">
        <v>225</v>
      </c>
      <c r="O8" s="275" t="s">
        <v>223</v>
      </c>
      <c r="P8" s="276"/>
      <c r="Q8" s="277" t="s">
        <v>224</v>
      </c>
      <c r="R8" s="276"/>
      <c r="S8" s="278" t="s">
        <v>225</v>
      </c>
    </row>
    <row r="9" customFormat="false" ht="18" hidden="false" customHeight="false" outlineLevel="0" collapsed="false">
      <c r="A9" s="270" t="s">
        <v>226</v>
      </c>
      <c r="C9" s="279"/>
      <c r="D9" s="280"/>
      <c r="E9" s="280"/>
      <c r="F9" s="280"/>
      <c r="G9" s="281"/>
      <c r="I9" s="279"/>
      <c r="J9" s="280"/>
      <c r="K9" s="280"/>
      <c r="L9" s="280"/>
      <c r="M9" s="281"/>
      <c r="O9" s="279"/>
      <c r="P9" s="280"/>
      <c r="Q9" s="280"/>
      <c r="R9" s="280"/>
      <c r="S9" s="281"/>
    </row>
    <row r="10" customFormat="false" ht="18" hidden="false" customHeight="false" outlineLevel="0" collapsed="false">
      <c r="C10" s="279"/>
      <c r="D10" s="280"/>
      <c r="E10" s="280"/>
      <c r="F10" s="280"/>
      <c r="G10" s="281"/>
      <c r="I10" s="282"/>
      <c r="J10" s="283"/>
      <c r="K10" s="283"/>
      <c r="L10" s="280"/>
      <c r="M10" s="281"/>
      <c r="O10" s="279"/>
      <c r="P10" s="280"/>
      <c r="Q10" s="280"/>
      <c r="R10" s="280"/>
      <c r="S10" s="281"/>
    </row>
    <row r="11" customFormat="false" ht="18" hidden="false" customHeight="false" outlineLevel="0" collapsed="false">
      <c r="A11" s="270" t="s">
        <v>227</v>
      </c>
      <c r="C11" s="282" t="n">
        <f aca="false">79.1</f>
        <v>79.1</v>
      </c>
      <c r="D11" s="284"/>
      <c r="E11" s="283" t="n">
        <f aca="false">2873.8</f>
        <v>2873.8</v>
      </c>
      <c r="F11" s="280"/>
      <c r="G11" s="285" t="n">
        <f aca="false">E11/C11/$G$7</f>
        <v>0.0995376062899399</v>
      </c>
      <c r="I11" s="282" t="n">
        <f aca="false">105</f>
        <v>105</v>
      </c>
      <c r="J11" s="283"/>
      <c r="K11" s="283" t="n">
        <f aca="false">3814</f>
        <v>3814</v>
      </c>
      <c r="L11" s="280"/>
      <c r="M11" s="285" t="n">
        <f aca="false">K11/I11/$M$7</f>
        <v>0.0995172863666014</v>
      </c>
      <c r="O11" s="282" t="n">
        <f aca="false">105</f>
        <v>105</v>
      </c>
      <c r="P11" s="283"/>
      <c r="Q11" s="283" t="n">
        <f aca="false">3814</f>
        <v>3814</v>
      </c>
      <c r="R11" s="280"/>
      <c r="S11" s="285" t="n">
        <f aca="false">Q11/O11/$S$7</f>
        <v>0.0995172863666014</v>
      </c>
    </row>
    <row r="12" customFormat="false" ht="18" hidden="false" customHeight="false" outlineLevel="0" collapsed="false">
      <c r="A12" s="270" t="s">
        <v>228</v>
      </c>
      <c r="C12" s="282" t="n">
        <f aca="false">21.9</f>
        <v>21.9</v>
      </c>
      <c r="D12" s="284"/>
      <c r="E12" s="283" t="n">
        <f aca="false">854.4+59+48.1+144.4</f>
        <v>1105.9</v>
      </c>
      <c r="F12" s="280"/>
      <c r="G12" s="285" t="n">
        <f aca="false">E12/C12/$G$7</f>
        <v>0.138349909301307</v>
      </c>
      <c r="I12" s="282" t="n">
        <f aca="false">21.9</f>
        <v>21.9</v>
      </c>
      <c r="J12" s="283"/>
      <c r="K12" s="283" t="n">
        <f aca="false">854.4+59+48.1+144.4</f>
        <v>1105.9</v>
      </c>
      <c r="L12" s="280"/>
      <c r="M12" s="285" t="n">
        <f aca="false">K12/I12/$M$7</f>
        <v>0.138349909301307</v>
      </c>
      <c r="O12" s="282" t="n">
        <f aca="false">21.9</f>
        <v>21.9</v>
      </c>
      <c r="P12" s="283"/>
      <c r="Q12" s="283" t="n">
        <f aca="false">854.4+59+48.1+144.4</f>
        <v>1105.9</v>
      </c>
      <c r="R12" s="280"/>
      <c r="S12" s="285" t="n">
        <f aca="false">Q12/O12/$S$7</f>
        <v>0.138349909301307</v>
      </c>
    </row>
    <row r="13" customFormat="false" ht="18" hidden="false" customHeight="false" outlineLevel="0" collapsed="false">
      <c r="A13" s="270" t="s">
        <v>229</v>
      </c>
      <c r="C13" s="282" t="n">
        <f aca="false">18.8</f>
        <v>18.8</v>
      </c>
      <c r="D13" s="284"/>
      <c r="E13" s="283" t="n">
        <f aca="false">550</f>
        <v>550</v>
      </c>
      <c r="F13" s="280"/>
      <c r="G13" s="285" t="n">
        <f aca="false">E13/C13/$G$7</f>
        <v>0.0801515593121539</v>
      </c>
      <c r="I13" s="282" t="n">
        <f aca="false">75</f>
        <v>75</v>
      </c>
      <c r="J13" s="283"/>
      <c r="K13" s="283" t="n">
        <f aca="false">1745</f>
        <v>1745</v>
      </c>
      <c r="L13" s="280"/>
      <c r="M13" s="285" t="n">
        <f aca="false">K13/I13/$M$7</f>
        <v>0.0637442922374429</v>
      </c>
      <c r="O13" s="282" t="n">
        <f aca="false">125</f>
        <v>125</v>
      </c>
      <c r="P13" s="283"/>
      <c r="Q13" s="283" t="n">
        <f aca="false">2762</f>
        <v>2762</v>
      </c>
      <c r="R13" s="280"/>
      <c r="S13" s="285" t="n">
        <f aca="false">Q13/O13/$S$7</f>
        <v>0.0605369863013699</v>
      </c>
    </row>
    <row r="14" customFormat="false" ht="18" hidden="false" customHeight="false" outlineLevel="0" collapsed="false">
      <c r="C14" s="282"/>
      <c r="D14" s="284"/>
      <c r="E14" s="283"/>
      <c r="F14" s="280"/>
      <c r="G14" s="281"/>
      <c r="I14" s="282"/>
      <c r="J14" s="283"/>
      <c r="K14" s="283"/>
      <c r="L14" s="280"/>
      <c r="M14" s="281"/>
      <c r="O14" s="282"/>
      <c r="P14" s="283"/>
      <c r="Q14" s="283"/>
      <c r="R14" s="280"/>
      <c r="S14" s="281"/>
    </row>
    <row r="15" customFormat="false" ht="18" hidden="false" customHeight="false" outlineLevel="0" collapsed="false">
      <c r="A15" s="270" t="s">
        <v>230</v>
      </c>
      <c r="C15" s="282" t="n">
        <f aca="false">207</f>
        <v>207</v>
      </c>
      <c r="D15" s="284"/>
      <c r="E15" s="283" t="n">
        <f aca="false">10958.4</f>
        <v>10958.4</v>
      </c>
      <c r="F15" s="280"/>
      <c r="G15" s="285" t="n">
        <f aca="false">E15/C15/$G$7</f>
        <v>0.145038713519952</v>
      </c>
      <c r="I15" s="282" t="n">
        <f aca="false">207</f>
        <v>207</v>
      </c>
      <c r="J15" s="283"/>
      <c r="K15" s="283" t="n">
        <f aca="false">10957</f>
        <v>10957</v>
      </c>
      <c r="L15" s="280"/>
      <c r="M15" s="285" t="n">
        <f aca="false">K15/I15/$M$7</f>
        <v>0.145020183971941</v>
      </c>
      <c r="O15" s="282" t="n">
        <f aca="false">207</f>
        <v>207</v>
      </c>
      <c r="P15" s="283"/>
      <c r="Q15" s="283" t="n">
        <f aca="false">10965</f>
        <v>10965</v>
      </c>
      <c r="R15" s="280"/>
      <c r="S15" s="285" t="n">
        <f aca="false">Q15/O15/$S$7</f>
        <v>0.145126067103435</v>
      </c>
    </row>
    <row r="16" customFormat="false" ht="18" hidden="false" customHeight="false" outlineLevel="0" collapsed="false">
      <c r="C16" s="282"/>
      <c r="D16" s="284"/>
      <c r="E16" s="283"/>
      <c r="F16" s="280"/>
      <c r="G16" s="285"/>
      <c r="I16" s="282"/>
      <c r="J16" s="283"/>
      <c r="K16" s="283"/>
      <c r="L16" s="280"/>
      <c r="M16" s="285"/>
      <c r="O16" s="282"/>
      <c r="P16" s="283"/>
      <c r="Q16" s="283"/>
      <c r="R16" s="280"/>
      <c r="S16" s="285"/>
    </row>
    <row r="17" customFormat="false" ht="18" hidden="false" customHeight="false" outlineLevel="0" collapsed="false">
      <c r="A17" s="270" t="s">
        <v>231</v>
      </c>
      <c r="C17" s="282" t="n">
        <f aca="false">899.2-198.6-8.4</f>
        <v>692.2</v>
      </c>
      <c r="D17" s="284"/>
      <c r="E17" s="283" t="n">
        <f aca="false">34524-E15</f>
        <v>23565.6</v>
      </c>
      <c r="F17" s="280"/>
      <c r="G17" s="285" t="n">
        <f aca="false">E17/C17/$G$7</f>
        <v>0.0932725912615326</v>
      </c>
      <c r="I17" s="282" t="n">
        <f aca="false">932.5-207</f>
        <v>725.5</v>
      </c>
      <c r="J17" s="283"/>
      <c r="K17" s="283" t="n">
        <f aca="false">35600-K15</f>
        <v>24643</v>
      </c>
      <c r="L17" s="280"/>
      <c r="M17" s="285" t="n">
        <f aca="false">K17/I17/$M$7</f>
        <v>0.0930600530574096</v>
      </c>
      <c r="O17" s="282" t="n">
        <f aca="false">932.5-207</f>
        <v>725.5</v>
      </c>
      <c r="P17" s="283"/>
      <c r="Q17" s="283" t="n">
        <f aca="false">35318-Q15</f>
        <v>24353</v>
      </c>
      <c r="R17" s="280"/>
      <c r="S17" s="285" t="n">
        <f aca="false">Q17/O17/$S$7</f>
        <v>0.0919649179120682</v>
      </c>
    </row>
    <row r="18" customFormat="false" ht="18" hidden="false" customHeight="false" outlineLevel="0" collapsed="false">
      <c r="C18" s="286"/>
      <c r="D18" s="287"/>
      <c r="E18" s="288"/>
      <c r="F18" s="289"/>
      <c r="G18" s="290"/>
      <c r="I18" s="286"/>
      <c r="J18" s="288"/>
      <c r="K18" s="288"/>
      <c r="L18" s="289"/>
      <c r="M18" s="290"/>
      <c r="O18" s="286"/>
      <c r="P18" s="288"/>
      <c r="Q18" s="288"/>
      <c r="R18" s="289"/>
      <c r="S18" s="290"/>
    </row>
    <row r="19" customFormat="false" ht="18" hidden="false" customHeight="false" outlineLevel="0" collapsed="false">
      <c r="A19" s="291" t="str">
        <f aca="true">CELL("FILENAME")</f>
        <v>'file:///mnt/12tb/@roms/datasets/enron/EDRM Enron Email Data Set v2 XML/filtered-attachments/xls/CE_3_2001.xls'#$Lay</v>
      </c>
      <c r="C19" s="283"/>
      <c r="D19" s="284"/>
      <c r="E19" s="283"/>
      <c r="I19" s="283"/>
      <c r="J19" s="283"/>
      <c r="K19" s="283"/>
      <c r="O19" s="283"/>
      <c r="P19" s="283"/>
      <c r="Q19" s="283"/>
    </row>
    <row r="20" customFormat="false" ht="18" hidden="false" customHeight="false" outlineLevel="0" collapsed="false">
      <c r="C20" s="283"/>
      <c r="D20" s="284"/>
      <c r="E20" s="283"/>
      <c r="O20" s="283"/>
      <c r="P20" s="283"/>
      <c r="Q20" s="283"/>
    </row>
    <row r="21" customFormat="false" ht="18" hidden="false" customHeight="false" outlineLevel="0" collapsed="false">
      <c r="C21" s="283"/>
      <c r="D21" s="284"/>
      <c r="E21" s="283"/>
      <c r="O21" s="283"/>
      <c r="P21" s="283"/>
      <c r="Q21" s="283"/>
    </row>
    <row r="22" customFormat="false" ht="18" hidden="false" customHeight="false" outlineLevel="0" collapsed="false">
      <c r="C22" s="283"/>
      <c r="D22" s="284"/>
      <c r="E22" s="283"/>
    </row>
    <row r="23" customFormat="false" ht="18" hidden="false" customHeight="false" outlineLevel="0" collapsed="false">
      <c r="C23" s="283"/>
      <c r="D23" s="284"/>
      <c r="E23" s="283"/>
    </row>
    <row r="24" customFormat="false" ht="18" hidden="false" customHeight="false" outlineLevel="0" collapsed="false">
      <c r="C24" s="283"/>
      <c r="D24" s="284"/>
      <c r="E24" s="283"/>
    </row>
    <row r="25" customFormat="false" ht="18" hidden="false" customHeight="false" outlineLevel="0" collapsed="false">
      <c r="C25" s="292"/>
      <c r="E25" s="292"/>
    </row>
    <row r="26" customFormat="false" ht="18" hidden="false" customHeight="false" outlineLevel="0" collapsed="false">
      <c r="C26" s="292"/>
    </row>
    <row r="27" customFormat="false" ht="18" hidden="false" customHeight="false" outlineLevel="0" collapsed="false">
      <c r="C27" s="292"/>
    </row>
  </sheetData>
  <mergeCells count="4">
    <mergeCell ref="A1:T1"/>
    <mergeCell ref="A2:T2"/>
    <mergeCell ref="A3:T3"/>
    <mergeCell ref="A4:T4"/>
  </mergeCells>
  <printOptions headings="false" gridLines="false" gridLinesSet="true" horizontalCentered="true" verticalCentered="false"/>
  <pageMargins left="0.25" right="0.25" top="0.7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5"/>
  <sheetViews>
    <sheetView showFormulas="false" showGridLines="true" showRowColHeaders="true" showZeros="true" rightToLeft="false" tabSelected="false" showOutlineSymbols="true" defaultGridColor="true" view="normal" topLeftCell="A51" colorId="64" zoomScale="75" zoomScaleNormal="75" zoomScalePageLayoutView="100" workbookViewId="0">
      <selection pane="topLeft" activeCell="J69" activeCellId="0" sqref="J69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293" width="61.78"/>
    <col collapsed="false" customWidth="true" hidden="false" outlineLevel="0" max="2" min="2" style="293" width="2.99"/>
    <col collapsed="false" customWidth="true" hidden="false" outlineLevel="0" max="14" min="3" style="293" width="14.2"/>
    <col collapsed="false" customWidth="true" hidden="false" outlineLevel="0" max="15" min="15" style="293" width="17.99"/>
    <col collapsed="false" customWidth="true" hidden="false" outlineLevel="0" max="16" min="16" style="293" width="3.39"/>
    <col collapsed="false" customWidth="true" hidden="false" outlineLevel="0" max="17" min="17" style="294" width="22.19"/>
    <col collapsed="false" customWidth="true" hidden="false" outlineLevel="0" max="18" min="18" style="294" width="19.2"/>
    <col collapsed="false" customWidth="false" hidden="false" outlineLevel="0" max="257" min="19" style="293" width="9.59"/>
  </cols>
  <sheetData>
    <row r="1" customFormat="false" ht="12.75" hidden="false" customHeight="false" outlineLevel="0" collapsed="false">
      <c r="A1" s="295"/>
      <c r="B1" s="295"/>
      <c r="C1" s="295" t="n">
        <v>31</v>
      </c>
      <c r="D1" s="295" t="n">
        <v>28</v>
      </c>
      <c r="E1" s="295" t="n">
        <v>31</v>
      </c>
      <c r="F1" s="295" t="n">
        <v>30</v>
      </c>
      <c r="G1" s="295" t="n">
        <v>31</v>
      </c>
      <c r="H1" s="295" t="n">
        <v>30</v>
      </c>
      <c r="I1" s="295" t="n">
        <v>31</v>
      </c>
      <c r="J1" s="295" t="n">
        <v>31</v>
      </c>
      <c r="K1" s="295" t="n">
        <v>30</v>
      </c>
      <c r="L1" s="295" t="n">
        <v>31</v>
      </c>
      <c r="M1" s="295" t="n">
        <v>30</v>
      </c>
      <c r="N1" s="295" t="n">
        <v>31</v>
      </c>
      <c r="O1" s="295" t="n">
        <v>365</v>
      </c>
      <c r="P1" s="295"/>
      <c r="Q1" s="294" t="n">
        <v>365</v>
      </c>
      <c r="R1" s="294" t="n">
        <v>365</v>
      </c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  <c r="II1" s="295"/>
      <c r="IJ1" s="295"/>
      <c r="IK1" s="295"/>
      <c r="IL1" s="295"/>
      <c r="IM1" s="295"/>
      <c r="IN1" s="295"/>
      <c r="IO1" s="295"/>
      <c r="IP1" s="295"/>
      <c r="IQ1" s="295"/>
      <c r="IR1" s="295"/>
      <c r="IS1" s="295"/>
      <c r="IT1" s="295"/>
      <c r="IU1" s="295"/>
      <c r="IV1" s="295"/>
      <c r="IW1" s="295"/>
    </row>
    <row r="2" customFormat="false" ht="12.75" hidden="false" customHeight="false" outlineLevel="0" collapsed="false">
      <c r="A2" s="296" t="s">
        <v>0</v>
      </c>
    </row>
    <row r="3" customFormat="false" ht="12.75" hidden="false" customHeight="false" outlineLevel="0" collapsed="false">
      <c r="A3" s="296" t="s">
        <v>232</v>
      </c>
    </row>
    <row r="5" customFormat="false" ht="12.75" hidden="false" customHeight="false" outlineLevel="0" collapsed="false">
      <c r="C5" s="297"/>
      <c r="D5" s="297"/>
      <c r="E5" s="297"/>
      <c r="F5" s="297"/>
      <c r="G5" s="297"/>
      <c r="H5" s="297"/>
      <c r="I5" s="297"/>
      <c r="J5" s="297"/>
      <c r="K5" s="297"/>
    </row>
    <row r="6" customFormat="false" ht="13.5" hidden="false" customHeight="false" outlineLevel="0" collapsed="false">
      <c r="C6" s="298" t="s">
        <v>233</v>
      </c>
      <c r="D6" s="298" t="s">
        <v>234</v>
      </c>
      <c r="E6" s="298" t="s">
        <v>235</v>
      </c>
      <c r="F6" s="298" t="s">
        <v>236</v>
      </c>
      <c r="G6" s="298" t="s">
        <v>100</v>
      </c>
      <c r="H6" s="298" t="s">
        <v>237</v>
      </c>
      <c r="I6" s="298" t="s">
        <v>238</v>
      </c>
      <c r="J6" s="298" t="s">
        <v>239</v>
      </c>
      <c r="K6" s="298" t="s">
        <v>240</v>
      </c>
      <c r="L6" s="298" t="s">
        <v>241</v>
      </c>
      <c r="M6" s="298" t="s">
        <v>242</v>
      </c>
      <c r="N6" s="298" t="s">
        <v>243</v>
      </c>
      <c r="O6" s="298" t="s">
        <v>244</v>
      </c>
      <c r="P6" s="298"/>
      <c r="Q6" s="298" t="n">
        <v>2002</v>
      </c>
      <c r="R6" s="298" t="n">
        <v>2003</v>
      </c>
      <c r="S6" s="298"/>
    </row>
    <row r="7" customFormat="false" ht="13.5" hidden="false" customHeight="false" outlineLevel="0" collapsed="false">
      <c r="A7" s="299" t="s">
        <v>245</v>
      </c>
    </row>
    <row r="8" customFormat="false" ht="12.75" hidden="false" customHeight="false" outlineLevel="0" collapsed="false">
      <c r="A8" s="294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</row>
    <row r="9" customFormat="false" ht="12.75" hidden="false" customHeight="false" outlineLevel="0" collapsed="false">
      <c r="A9" s="294" t="s">
        <v>246</v>
      </c>
      <c r="B9" s="294"/>
      <c r="C9" s="300" t="n">
        <v>2468.6</v>
      </c>
      <c r="D9" s="300" t="n">
        <v>2430.3</v>
      </c>
      <c r="E9" s="300" t="n">
        <v>2396</v>
      </c>
      <c r="F9" s="300" t="n">
        <v>2343.5</v>
      </c>
      <c r="G9" s="300" t="n">
        <v>2411.9</v>
      </c>
      <c r="H9" s="300" t="n">
        <v>2416.3</v>
      </c>
      <c r="I9" s="300" t="n">
        <v>2240.2</v>
      </c>
      <c r="J9" s="300" t="n">
        <v>2268.3</v>
      </c>
      <c r="K9" s="300" t="n">
        <v>2234.6</v>
      </c>
      <c r="L9" s="300" t="n">
        <v>2356</v>
      </c>
      <c r="M9" s="300" t="n">
        <v>2390.5</v>
      </c>
      <c r="N9" s="300" t="n">
        <v>2424.4</v>
      </c>
      <c r="O9" s="300"/>
    </row>
    <row r="10" customFormat="false" ht="12.75" hidden="false" customHeight="false" outlineLevel="0" collapsed="false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</row>
    <row r="11" customFormat="false" ht="12.75" hidden="false" customHeight="false" outlineLevel="0" collapsed="false">
      <c r="A11" s="301" t="s">
        <v>247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</row>
    <row r="12" customFormat="false" ht="12.75" hidden="false" customHeight="false" outlineLevel="0" collapsed="false">
      <c r="A12" s="294" t="s">
        <v>248</v>
      </c>
      <c r="B12" s="294"/>
      <c r="C12" s="302" t="n">
        <f aca="false">Forecast01!B25</f>
        <v>429.085</v>
      </c>
      <c r="D12" s="302" t="n">
        <f aca="false">Forecast01!C25</f>
        <v>413.942</v>
      </c>
      <c r="E12" s="302" t="n">
        <f aca="false">Forecast01!D25</f>
        <v>416.3</v>
      </c>
      <c r="F12" s="302" t="n">
        <f aca="false">Forecast01!E25</f>
        <v>318.4</v>
      </c>
      <c r="G12" s="302" t="n">
        <f aca="false">Forecast01!F25</f>
        <v>343.4</v>
      </c>
      <c r="H12" s="302" t="n">
        <f aca="false">Forecast01!G25</f>
        <v>363.4</v>
      </c>
      <c r="I12" s="302" t="n">
        <f aca="false">Forecast01!H25</f>
        <v>369.9</v>
      </c>
      <c r="J12" s="302" t="n">
        <f aca="false">Forecast01!I25</f>
        <v>387.9</v>
      </c>
      <c r="K12" s="302" t="n">
        <f aca="false">Forecast01!J25</f>
        <v>363.9</v>
      </c>
      <c r="L12" s="302" t="n">
        <f aca="false">Forecast01!K25</f>
        <v>392.294</v>
      </c>
      <c r="M12" s="302" t="n">
        <f aca="false">Forecast01!L25</f>
        <v>462.58</v>
      </c>
      <c r="N12" s="302" t="n">
        <f aca="false">Forecast01!M25</f>
        <v>422.25</v>
      </c>
      <c r="O12" s="294"/>
      <c r="Q12" s="294" t="n">
        <v>4531</v>
      </c>
      <c r="R12" s="294" t="n">
        <v>4999</v>
      </c>
    </row>
    <row r="13" customFormat="false" ht="12.75" hidden="false" customHeight="false" outlineLevel="0" collapsed="false">
      <c r="A13" s="294" t="s">
        <v>249</v>
      </c>
      <c r="B13" s="294"/>
      <c r="C13" s="302" t="n">
        <f aca="false">Forecast01!B18</f>
        <v>438.595</v>
      </c>
      <c r="D13" s="302" t="n">
        <f aca="false">Forecast01!C18</f>
        <v>452.069</v>
      </c>
      <c r="E13" s="302" t="n">
        <f aca="false">Forecast01!D18</f>
        <v>437.2</v>
      </c>
      <c r="F13" s="302" t="n">
        <f aca="false">Forecast01!E18</f>
        <v>577.5</v>
      </c>
      <c r="G13" s="302" t="n">
        <f aca="false">Forecast01!F18</f>
        <v>517.1</v>
      </c>
      <c r="H13" s="302" t="n">
        <f aca="false">Forecast01!G18</f>
        <v>489.8</v>
      </c>
      <c r="I13" s="302" t="n">
        <f aca="false">Forecast01!H18</f>
        <v>485.2</v>
      </c>
      <c r="J13" s="302" t="n">
        <f aca="false">Forecast01!I18</f>
        <v>495</v>
      </c>
      <c r="K13" s="302" t="n">
        <f aca="false">Forecast01!J18</f>
        <v>449.8</v>
      </c>
      <c r="L13" s="302" t="n">
        <f aca="false">Forecast01!K18</f>
        <v>382.675806451613</v>
      </c>
      <c r="M13" s="302" t="n">
        <f aca="false">Forecast01!L18</f>
        <v>289.589333333333</v>
      </c>
      <c r="N13" s="302" t="n">
        <f aca="false">Forecast01!M18</f>
        <v>316.897</v>
      </c>
      <c r="O13" s="294"/>
      <c r="Q13" s="294" t="n">
        <v>4524</v>
      </c>
      <c r="R13" s="294" t="n">
        <v>4524</v>
      </c>
    </row>
    <row r="14" customFormat="false" ht="12.75" hidden="false" customHeight="false" outlineLevel="0" collapsed="false">
      <c r="A14" s="294" t="s">
        <v>250</v>
      </c>
      <c r="B14" s="294"/>
      <c r="C14" s="302" t="n">
        <f aca="false">Forecast01!B32+Forecast01!B40</f>
        <v>240.944</v>
      </c>
      <c r="D14" s="302" t="n">
        <f aca="false">Forecast01!C32+Forecast01!C40</f>
        <v>253.248</v>
      </c>
      <c r="E14" s="302" t="n">
        <f aca="false">Forecast01!D32+Forecast01!D40</f>
        <v>256.4</v>
      </c>
      <c r="F14" s="302" t="n">
        <f aca="false">Forecast01!E32+Forecast01!E40</f>
        <v>207.8</v>
      </c>
      <c r="G14" s="302" t="n">
        <f aca="false">Forecast01!F32+Forecast01!F40</f>
        <v>214.6</v>
      </c>
      <c r="H14" s="302" t="n">
        <f aca="false">Forecast01!G32+Forecast01!G40</f>
        <v>219.5</v>
      </c>
      <c r="I14" s="302" t="n">
        <f aca="false">Forecast01!H32+Forecast01!H40</f>
        <v>235.4</v>
      </c>
      <c r="J14" s="302" t="n">
        <f aca="false">Forecast01!I32+Forecast01!I40</f>
        <v>223.9</v>
      </c>
      <c r="K14" s="302" t="n">
        <f aca="false">Forecast01!J32+Forecast01!J40</f>
        <v>206.5</v>
      </c>
      <c r="L14" s="302" t="n">
        <f aca="false">Forecast01!K32+Forecast01!K40</f>
        <v>225.42</v>
      </c>
      <c r="M14" s="302" t="n">
        <f aca="false">Forecast01!L32+Forecast01!L40</f>
        <v>249.6</v>
      </c>
      <c r="N14" s="302" t="n">
        <f aca="false">Forecast01!M32+Forecast01!M40</f>
        <v>259.158</v>
      </c>
      <c r="O14" s="294"/>
      <c r="Q14" s="294" t="n">
        <v>3953</v>
      </c>
      <c r="R14" s="294" t="n">
        <v>7778</v>
      </c>
    </row>
    <row r="15" customFormat="false" ht="12.75" hidden="false" customHeight="false" outlineLevel="0" collapsed="false">
      <c r="A15" s="294" t="s">
        <v>251</v>
      </c>
      <c r="B15" s="294"/>
      <c r="C15" s="302" t="n">
        <f aca="false">Forecast01!B89</f>
        <v>341.151</v>
      </c>
      <c r="D15" s="302" t="n">
        <f aca="false">Forecast01!C89</f>
        <v>317.781</v>
      </c>
      <c r="E15" s="302" t="n">
        <f aca="false">Forecast01!D89</f>
        <v>301.3</v>
      </c>
      <c r="F15" s="302" t="n">
        <f aca="false">Forecast01!E89</f>
        <v>375.1</v>
      </c>
      <c r="G15" s="302" t="n">
        <f aca="false">Forecast01!F89</f>
        <v>400.4</v>
      </c>
      <c r="H15" s="302" t="n">
        <f aca="false">Forecast01!G89</f>
        <v>373.5</v>
      </c>
      <c r="I15" s="302" t="n">
        <f aca="false">Forecast01!H89</f>
        <v>247.5</v>
      </c>
      <c r="J15" s="302" t="n">
        <f aca="false">Forecast01!I89</f>
        <v>264.9</v>
      </c>
      <c r="K15" s="302" t="n">
        <f aca="false">Forecast01!J89</f>
        <v>337</v>
      </c>
      <c r="L15" s="302" t="n">
        <f aca="false">Forecast01!K89</f>
        <v>220.9665</v>
      </c>
      <c r="M15" s="302" t="n">
        <f aca="false">Forecast01!L89</f>
        <v>268.0725</v>
      </c>
      <c r="N15" s="302" t="n">
        <f aca="false">Forecast01!M89</f>
        <v>417.4485</v>
      </c>
      <c r="O15" s="294"/>
      <c r="Q15" s="294" t="n">
        <v>12360</v>
      </c>
      <c r="R15" s="294" t="n">
        <v>12360</v>
      </c>
    </row>
    <row r="16" customFormat="false" ht="12.75" hidden="false" customHeight="false" outlineLevel="0" collapsed="false">
      <c r="A16" s="294" t="s">
        <v>252</v>
      </c>
      <c r="B16" s="294"/>
      <c r="C16" s="302" t="n">
        <f aca="false">Forecast01!B82+Forecast01!B99</f>
        <v>764.064</v>
      </c>
      <c r="D16" s="302" t="n">
        <f aca="false">Forecast01!C82+Forecast01!C99</f>
        <v>757.65</v>
      </c>
      <c r="E16" s="302" t="n">
        <f aca="false">Forecast01!D82+Forecast01!D99</f>
        <v>707.4</v>
      </c>
      <c r="F16" s="302" t="n">
        <f aca="false">Forecast01!E82+Forecast01!E99</f>
        <v>628.3</v>
      </c>
      <c r="G16" s="302" t="n">
        <f aca="false">Forecast01!F82+Forecast01!F99</f>
        <v>648.9</v>
      </c>
      <c r="H16" s="302" t="n">
        <f aca="false">Forecast01!G82+Forecast01!G99</f>
        <v>694.1</v>
      </c>
      <c r="I16" s="302" t="n">
        <f aca="false">Forecast01!H82+Forecast01!H99</f>
        <v>822.1</v>
      </c>
      <c r="J16" s="302" t="n">
        <f aca="false">Forecast01!I82+Forecast01!I99</f>
        <v>804.3</v>
      </c>
      <c r="K16" s="302" t="n">
        <f aca="false">Forecast01!J82+Forecast01!J99</f>
        <v>679.4</v>
      </c>
      <c r="L16" s="302" t="n">
        <f aca="false">Forecast01!K82+Forecast01!K99</f>
        <v>697.539</v>
      </c>
      <c r="M16" s="302" t="n">
        <f aca="false">Forecast01!L82+Forecast01!L99</f>
        <v>691.403</v>
      </c>
      <c r="N16" s="302" t="n">
        <f aca="false">Forecast01!M82+Forecast01!M99</f>
        <v>621.627</v>
      </c>
      <c r="O16" s="294"/>
    </row>
    <row r="17" customFormat="false" ht="12.75" hidden="false" customHeight="false" outlineLevel="0" collapsed="false">
      <c r="A17" s="294" t="s">
        <v>253</v>
      </c>
      <c r="B17" s="294"/>
      <c r="C17" s="302" t="n">
        <f aca="false">Forecast01!B65+Forecast01!B72</f>
        <v>109.799</v>
      </c>
      <c r="D17" s="302" t="n">
        <f aca="false">Forecast01!C65+Forecast01!C72</f>
        <v>94.043</v>
      </c>
      <c r="E17" s="302" t="n">
        <f aca="false">Forecast01!D65+Forecast01!D72</f>
        <v>85.1</v>
      </c>
      <c r="F17" s="302" t="n">
        <f aca="false">Forecast01!E65+Forecast01!E72</f>
        <v>175.2</v>
      </c>
      <c r="G17" s="302" t="n">
        <f aca="false">Forecast01!F65+Forecast01!F72</f>
        <v>148.8</v>
      </c>
      <c r="H17" s="302" t="n">
        <f aca="false">Forecast01!G65+Forecast01!G72</f>
        <v>136.2</v>
      </c>
      <c r="I17" s="302" t="n">
        <f aca="false">Forecast01!H65+Forecast01!H72</f>
        <v>141.5</v>
      </c>
      <c r="J17" s="302" t="n">
        <f aca="false">Forecast01!I65+Forecast01!I72</f>
        <v>136</v>
      </c>
      <c r="K17" s="302" t="n">
        <f aca="false">Forecast01!J65+Forecast01!J72</f>
        <v>133.4</v>
      </c>
      <c r="L17" s="302" t="n">
        <f aca="false">Forecast01!K65+Forecast01!K72</f>
        <v>120.2</v>
      </c>
      <c r="M17" s="302" t="n">
        <f aca="false">Forecast01!L65+Forecast01!L72</f>
        <v>127.6</v>
      </c>
      <c r="N17" s="302" t="n">
        <f aca="false">Forecast01!M65+Forecast01!M72</f>
        <v>121.4</v>
      </c>
      <c r="O17" s="294"/>
      <c r="Q17" s="294" t="n">
        <v>0</v>
      </c>
      <c r="R17" s="294" t="n">
        <v>0</v>
      </c>
    </row>
    <row r="18" customFormat="false" ht="12.75" hidden="false" customHeight="false" outlineLevel="0" collapsed="false">
      <c r="A18" s="294" t="s">
        <v>254</v>
      </c>
      <c r="B18" s="294"/>
      <c r="C18" s="303" t="n">
        <f aca="false">Forecast01!B50+Forecast01!B58</f>
        <v>226.264</v>
      </c>
      <c r="D18" s="303" t="n">
        <f aca="false">Forecast01!C50+Forecast01!C58</f>
        <v>249.815</v>
      </c>
      <c r="E18" s="303" t="n">
        <f aca="false">Forecast01!D50+Forecast01!D58</f>
        <v>273.6</v>
      </c>
      <c r="F18" s="303" t="n">
        <f aca="false">Forecast01!E50+Forecast01!E58</f>
        <v>365.247</v>
      </c>
      <c r="G18" s="303" t="n">
        <f aca="false">Forecast01!F50+Forecast01!F58</f>
        <v>345.6</v>
      </c>
      <c r="H18" s="303" t="n">
        <f aca="false">Forecast01!G50+Forecast01!G58</f>
        <v>348</v>
      </c>
      <c r="I18" s="303" t="n">
        <f aca="false">Forecast01!H50+Forecast01!H58</f>
        <v>352.3</v>
      </c>
      <c r="J18" s="303" t="n">
        <f aca="false">Forecast01!I50+Forecast01!I58</f>
        <v>335.4</v>
      </c>
      <c r="K18" s="303" t="n">
        <f aca="false">Forecast01!J50+Forecast01!J58</f>
        <v>289.3</v>
      </c>
      <c r="L18" s="303" t="n">
        <f aca="false">Forecast01!K50+Forecast01!K58</f>
        <v>278.09</v>
      </c>
      <c r="M18" s="303" t="n">
        <f aca="false">Forecast01!L50+Forecast01!L58</f>
        <v>311.28</v>
      </c>
      <c r="N18" s="303" t="n">
        <f aca="false">Forecast01!M50+Forecast01!M58</f>
        <v>351.978602</v>
      </c>
      <c r="O18" s="294"/>
      <c r="Q18" s="294" t="n">
        <v>5044</v>
      </c>
      <c r="R18" s="294" t="n">
        <v>5044</v>
      </c>
    </row>
    <row r="19" customFormat="false" ht="12.75" hidden="false" customHeight="false" outlineLevel="0" collapsed="false">
      <c r="A19" s="294"/>
      <c r="B19" s="294"/>
      <c r="C19" s="302" t="n">
        <f aca="false">SUM(C12:C18)</f>
        <v>2549.902</v>
      </c>
      <c r="D19" s="302" t="n">
        <f aca="false">SUM(D12:D18)</f>
        <v>2538.548</v>
      </c>
      <c r="E19" s="302" t="n">
        <f aca="false">SUM(E12:E18)</f>
        <v>2477.3</v>
      </c>
      <c r="F19" s="302" t="n">
        <f aca="false">SUM(F12:F18)</f>
        <v>2647.547</v>
      </c>
      <c r="G19" s="302" t="n">
        <f aca="false">SUM(G12:G18)</f>
        <v>2618.8</v>
      </c>
      <c r="H19" s="302" t="n">
        <f aca="false">SUM(H12:H18)</f>
        <v>2624.5</v>
      </c>
      <c r="I19" s="302" t="n">
        <f aca="false">SUM(I12:I18)</f>
        <v>2653.9</v>
      </c>
      <c r="J19" s="302" t="n">
        <f aca="false">SUM(J12:J18)</f>
        <v>2647.4</v>
      </c>
      <c r="K19" s="302" t="n">
        <f aca="false">SUM(K12:K18)</f>
        <v>2459.3</v>
      </c>
      <c r="L19" s="302" t="n">
        <f aca="false">SUM(L12:L18)</f>
        <v>2317.18530645161</v>
      </c>
      <c r="M19" s="302" t="n">
        <f aca="false">SUM(M12:M18)</f>
        <v>2400.12483333333</v>
      </c>
      <c r="N19" s="302" t="n">
        <f aca="false">SUM(N12:N18)</f>
        <v>2510.759102</v>
      </c>
      <c r="O19" s="294"/>
    </row>
    <row r="20" customFormat="false" ht="12.75" hidden="false" customHeight="false" outlineLevel="0" collapsed="false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</row>
    <row r="21" customFormat="false" ht="12.75" hidden="false" customHeight="false" outlineLevel="0" collapsed="false">
      <c r="A21" s="301" t="s">
        <v>255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</row>
    <row r="22" customFormat="false" ht="12.75" hidden="false" customHeight="false" outlineLevel="0" collapsed="false">
      <c r="A22" s="294" t="s">
        <v>248</v>
      </c>
      <c r="B22" s="294"/>
      <c r="C22" s="304" t="n">
        <v>0.05</v>
      </c>
      <c r="D22" s="304" t="n">
        <v>0.05</v>
      </c>
      <c r="E22" s="304" t="n">
        <v>0.05</v>
      </c>
      <c r="F22" s="304" t="n">
        <v>0.05</v>
      </c>
      <c r="G22" s="304" t="n">
        <v>0.05</v>
      </c>
      <c r="H22" s="304" t="n">
        <v>0.05</v>
      </c>
      <c r="I22" s="304" t="n">
        <v>0.05</v>
      </c>
      <c r="J22" s="304" t="n">
        <v>0.05</v>
      </c>
      <c r="K22" s="304" t="n">
        <v>0.05</v>
      </c>
      <c r="L22" s="304" t="n">
        <v>0.05</v>
      </c>
      <c r="M22" s="304" t="n">
        <v>0.05</v>
      </c>
      <c r="N22" s="304" t="n">
        <v>0.05</v>
      </c>
      <c r="O22" s="294"/>
      <c r="Q22" s="304" t="n">
        <v>0.05</v>
      </c>
      <c r="R22" s="304" t="n">
        <v>0.05</v>
      </c>
    </row>
    <row r="23" customFormat="false" ht="12.75" hidden="false" customHeight="false" outlineLevel="0" collapsed="false">
      <c r="A23" s="294" t="s">
        <v>249</v>
      </c>
      <c r="B23" s="294"/>
      <c r="C23" s="304" t="n">
        <v>0.045</v>
      </c>
      <c r="D23" s="304" t="n">
        <v>0.045</v>
      </c>
      <c r="E23" s="304" t="n">
        <v>0.045</v>
      </c>
      <c r="F23" s="304" t="n">
        <v>0.045</v>
      </c>
      <c r="G23" s="304" t="n">
        <v>0.045</v>
      </c>
      <c r="H23" s="304" t="n">
        <v>0.045</v>
      </c>
      <c r="I23" s="304" t="n">
        <v>0.045</v>
      </c>
      <c r="J23" s="304" t="n">
        <v>0.045</v>
      </c>
      <c r="K23" s="304" t="n">
        <v>0.045</v>
      </c>
      <c r="L23" s="304" t="n">
        <v>0.045</v>
      </c>
      <c r="M23" s="304" t="n">
        <v>0.045</v>
      </c>
      <c r="N23" s="304" t="n">
        <v>0.045</v>
      </c>
      <c r="O23" s="294"/>
      <c r="Q23" s="304" t="n">
        <v>0.045</v>
      </c>
      <c r="R23" s="304" t="n">
        <v>0.045</v>
      </c>
    </row>
    <row r="24" customFormat="false" ht="12.75" hidden="false" customHeight="false" outlineLevel="0" collapsed="false">
      <c r="A24" s="294" t="s">
        <v>250</v>
      </c>
      <c r="B24" s="294"/>
      <c r="C24" s="304" t="n">
        <v>0.0475</v>
      </c>
      <c r="D24" s="304" t="n">
        <v>0.0475</v>
      </c>
      <c r="E24" s="304" t="n">
        <v>0.0475</v>
      </c>
      <c r="F24" s="304" t="n">
        <v>0.0475</v>
      </c>
      <c r="G24" s="304" t="n">
        <v>0.0475</v>
      </c>
      <c r="H24" s="304" t="n">
        <v>0.0475</v>
      </c>
      <c r="I24" s="304" t="n">
        <v>0.0475</v>
      </c>
      <c r="J24" s="304" t="n">
        <v>0.0475</v>
      </c>
      <c r="K24" s="304" t="n">
        <v>0.0475</v>
      </c>
      <c r="L24" s="304" t="n">
        <v>0.0475</v>
      </c>
      <c r="M24" s="304" t="n">
        <v>0.0475</v>
      </c>
      <c r="N24" s="304" t="n">
        <v>0.0475</v>
      </c>
      <c r="O24" s="294"/>
      <c r="Q24" s="304" t="n">
        <v>0.0475</v>
      </c>
      <c r="R24" s="304" t="n">
        <v>0.0475</v>
      </c>
    </row>
    <row r="25" customFormat="false" ht="12.75" hidden="false" customHeight="false" outlineLevel="0" collapsed="false">
      <c r="A25" s="294" t="s">
        <v>251</v>
      </c>
      <c r="B25" s="294"/>
      <c r="C25" s="304" t="n">
        <v>0.0025</v>
      </c>
      <c r="D25" s="304" t="n">
        <v>0.0025</v>
      </c>
      <c r="E25" s="304" t="n">
        <v>0.0025</v>
      </c>
      <c r="F25" s="304" t="n">
        <v>0.0025</v>
      </c>
      <c r="G25" s="304" t="n">
        <v>0.0025</v>
      </c>
      <c r="H25" s="304" t="n">
        <v>0.0025</v>
      </c>
      <c r="I25" s="304" t="n">
        <v>0.0025</v>
      </c>
      <c r="J25" s="304" t="n">
        <v>0.0025</v>
      </c>
      <c r="K25" s="304" t="n">
        <v>0.0025</v>
      </c>
      <c r="L25" s="304" t="n">
        <v>0.0025</v>
      </c>
      <c r="M25" s="304" t="n">
        <v>0.0025</v>
      </c>
      <c r="N25" s="304" t="n">
        <v>0.0025</v>
      </c>
      <c r="O25" s="294"/>
      <c r="Q25" s="304" t="n">
        <v>0.0025</v>
      </c>
      <c r="R25" s="304" t="n">
        <v>0.0025</v>
      </c>
    </row>
    <row r="26" customFormat="false" ht="12.75" hidden="false" customHeight="false" outlineLevel="0" collapsed="false">
      <c r="A26" s="294" t="s">
        <v>252</v>
      </c>
      <c r="B26" s="294"/>
      <c r="C26" s="304" t="n">
        <v>0.0025</v>
      </c>
      <c r="D26" s="304" t="n">
        <v>0.0025</v>
      </c>
      <c r="E26" s="304" t="n">
        <v>0.0025</v>
      </c>
      <c r="F26" s="304" t="n">
        <v>0.0025</v>
      </c>
      <c r="G26" s="304" t="n">
        <v>0.0025</v>
      </c>
      <c r="H26" s="304" t="n">
        <v>0.0025</v>
      </c>
      <c r="I26" s="304" t="n">
        <v>0.0025</v>
      </c>
      <c r="J26" s="304" t="n">
        <v>0.0025</v>
      </c>
      <c r="K26" s="304" t="n">
        <v>0.0025</v>
      </c>
      <c r="L26" s="304" t="n">
        <v>0.0025</v>
      </c>
      <c r="M26" s="304" t="n">
        <v>0.0025</v>
      </c>
      <c r="N26" s="304" t="n">
        <v>0.0025</v>
      </c>
      <c r="O26" s="294"/>
      <c r="Q26" s="304"/>
      <c r="R26" s="304"/>
    </row>
    <row r="27" customFormat="false" ht="12.75" hidden="false" customHeight="false" outlineLevel="0" collapsed="false">
      <c r="A27" s="294" t="s">
        <v>253</v>
      </c>
      <c r="B27" s="294"/>
      <c r="C27" s="304" t="n">
        <v>0.0156</v>
      </c>
      <c r="D27" s="304" t="n">
        <v>0.0156</v>
      </c>
      <c r="E27" s="304" t="n">
        <v>0.0156</v>
      </c>
      <c r="F27" s="304" t="n">
        <v>0.0156</v>
      </c>
      <c r="G27" s="304" t="n">
        <v>0.0156</v>
      </c>
      <c r="H27" s="304" t="n">
        <v>0.0156</v>
      </c>
      <c r="I27" s="304" t="n">
        <v>0.0156</v>
      </c>
      <c r="J27" s="304" t="n">
        <v>0.0156</v>
      </c>
      <c r="K27" s="304" t="n">
        <v>0.0156</v>
      </c>
      <c r="L27" s="304" t="n">
        <v>0.0156</v>
      </c>
      <c r="M27" s="304" t="n">
        <v>0.0156</v>
      </c>
      <c r="N27" s="304" t="n">
        <v>0.0156</v>
      </c>
      <c r="O27" s="294"/>
      <c r="Q27" s="304" t="n">
        <v>0.0156</v>
      </c>
      <c r="R27" s="304" t="n">
        <v>0.0156</v>
      </c>
    </row>
    <row r="28" customFormat="false" ht="12.75" hidden="false" customHeight="false" outlineLevel="0" collapsed="false">
      <c r="A28" s="294" t="s">
        <v>254</v>
      </c>
      <c r="B28" s="294"/>
      <c r="C28" s="304" t="n">
        <v>0.0131</v>
      </c>
      <c r="D28" s="304" t="n">
        <v>0.0131</v>
      </c>
      <c r="E28" s="304" t="n">
        <v>0.0131</v>
      </c>
      <c r="F28" s="304" t="n">
        <v>0.0131</v>
      </c>
      <c r="G28" s="304" t="n">
        <v>0.0131</v>
      </c>
      <c r="H28" s="304" t="n">
        <v>0.0131</v>
      </c>
      <c r="I28" s="304" t="n">
        <v>0.0131</v>
      </c>
      <c r="J28" s="304" t="n">
        <v>0.0131</v>
      </c>
      <c r="K28" s="304" t="n">
        <v>0.0131</v>
      </c>
      <c r="L28" s="304" t="n">
        <v>0.0131</v>
      </c>
      <c r="M28" s="304" t="n">
        <v>0.0131</v>
      </c>
      <c r="N28" s="304" t="n">
        <v>0.0131</v>
      </c>
      <c r="O28" s="294"/>
      <c r="Q28" s="304" t="n">
        <v>0.0131</v>
      </c>
      <c r="R28" s="304" t="n">
        <v>0.0131</v>
      </c>
    </row>
    <row r="29" customFormat="false" ht="12.75" hidden="false" customHeight="false" outlineLevel="0" collapsed="false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</row>
    <row r="30" customFormat="false" ht="12.75" hidden="false" customHeight="false" outlineLevel="0" collapsed="false">
      <c r="A30" s="301" t="s">
        <v>256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</row>
    <row r="31" customFormat="false" ht="12.75" hidden="false" customHeight="false" outlineLevel="0" collapsed="false">
      <c r="A31" s="294" t="s">
        <v>257</v>
      </c>
      <c r="B31" s="294"/>
      <c r="C31" s="294" t="n">
        <f aca="false">ROUND(C12/(1-C22),1)</f>
        <v>451.7</v>
      </c>
      <c r="D31" s="294" t="n">
        <f aca="false">ROUND(D12/(1-D22),1)</f>
        <v>435.7</v>
      </c>
      <c r="E31" s="294" t="n">
        <f aca="false">ROUND(E12/(1-E22),1)</f>
        <v>438.2</v>
      </c>
      <c r="F31" s="294" t="n">
        <f aca="false">ROUND(F12/(1-F22),1)</f>
        <v>335.2</v>
      </c>
      <c r="G31" s="294" t="n">
        <f aca="false">ROUND(G12/(1-G22),1)</f>
        <v>361.5</v>
      </c>
      <c r="H31" s="294" t="n">
        <f aca="false">ROUND(H12/(1-H22),1)</f>
        <v>382.5</v>
      </c>
      <c r="I31" s="294" t="n">
        <f aca="false">ROUND(I12/(1-I22),1)</f>
        <v>389.4</v>
      </c>
      <c r="J31" s="294" t="n">
        <f aca="false">ROUND(J12/(1-J22),1)</f>
        <v>408.3</v>
      </c>
      <c r="K31" s="294" t="n">
        <f aca="false">ROUND(K12/(1-K22),1)</f>
        <v>383.1</v>
      </c>
      <c r="L31" s="294" t="n">
        <f aca="false">ROUND(L12/(1-L22),1)</f>
        <v>412.9</v>
      </c>
      <c r="M31" s="294" t="n">
        <f aca="false">ROUND(M12/(1-M22),1)</f>
        <v>486.9</v>
      </c>
      <c r="N31" s="294" t="n">
        <f aca="false">ROUND(N12/(1-N22),1)</f>
        <v>444.5</v>
      </c>
      <c r="O31" s="294"/>
      <c r="Q31" s="294" t="n">
        <f aca="false">ROUND(Q12/(1-Q22),1)</f>
        <v>4769.5</v>
      </c>
      <c r="R31" s="294" t="n">
        <f aca="false">ROUND(R12/(1-R22),1)</f>
        <v>5262.1</v>
      </c>
    </row>
    <row r="32" customFormat="false" ht="12.75" hidden="false" customHeight="false" outlineLevel="0" collapsed="false">
      <c r="A32" s="294" t="s">
        <v>258</v>
      </c>
      <c r="B32" s="294"/>
      <c r="C32" s="294" t="n">
        <f aca="false">ROUND(C13/(1-C23),1)</f>
        <v>459.3</v>
      </c>
      <c r="D32" s="294" t="n">
        <f aca="false">ROUND(D13/(1-D23),1)</f>
        <v>473.4</v>
      </c>
      <c r="E32" s="294" t="n">
        <f aca="false">ROUND(E13/(1-E23),1)</f>
        <v>457.8</v>
      </c>
      <c r="F32" s="294" t="n">
        <f aca="false">ROUND(F13/(1-F23),1)</f>
        <v>604.7</v>
      </c>
      <c r="G32" s="294" t="n">
        <f aca="false">ROUND(G13/(1-G23),1)</f>
        <v>541.5</v>
      </c>
      <c r="H32" s="294" t="n">
        <f aca="false">ROUND(H13/(1-H23),1)</f>
        <v>512.9</v>
      </c>
      <c r="I32" s="294" t="n">
        <f aca="false">ROUND(I13/(1-I23),1)</f>
        <v>508.1</v>
      </c>
      <c r="J32" s="294" t="n">
        <f aca="false">ROUND(J13/(1-J23),1)</f>
        <v>518.3</v>
      </c>
      <c r="K32" s="294" t="n">
        <f aca="false">ROUND(K13/(1-K23),1)</f>
        <v>471</v>
      </c>
      <c r="L32" s="294" t="n">
        <f aca="false">ROUND(L13/(1-L23),1)</f>
        <v>400.7</v>
      </c>
      <c r="M32" s="294" t="n">
        <f aca="false">ROUND(M13/(1-M23),1)</f>
        <v>303.2</v>
      </c>
      <c r="N32" s="294" t="n">
        <f aca="false">ROUND(N13/(1-N23),1)</f>
        <v>331.8</v>
      </c>
      <c r="O32" s="294"/>
      <c r="Q32" s="294" t="n">
        <f aca="false">ROUND(Q13/(1-Q23),1)</f>
        <v>4737.2</v>
      </c>
      <c r="R32" s="294" t="n">
        <f aca="false">ROUND(R13/(1-R23),1)</f>
        <v>4737.2</v>
      </c>
    </row>
    <row r="33" customFormat="false" ht="12.75" hidden="false" customHeight="false" outlineLevel="0" collapsed="false">
      <c r="A33" s="294" t="s">
        <v>259</v>
      </c>
      <c r="B33" s="294"/>
      <c r="C33" s="294" t="n">
        <f aca="false">ROUND(C14/(1-C24),1)</f>
        <v>253</v>
      </c>
      <c r="D33" s="294" t="n">
        <f aca="false">ROUND(D14/(1-D24),1)</f>
        <v>265.9</v>
      </c>
      <c r="E33" s="294" t="n">
        <f aca="false">ROUND(E14/(1-E24),1)</f>
        <v>269.2</v>
      </c>
      <c r="F33" s="294" t="n">
        <f aca="false">ROUND(F14/(1-F24),1)</f>
        <v>218.2</v>
      </c>
      <c r="G33" s="294" t="n">
        <f aca="false">ROUND(G14/(1-G24),1)</f>
        <v>225.3</v>
      </c>
      <c r="H33" s="294" t="n">
        <f aca="false">ROUND(H14/(1-H24),1)</f>
        <v>230.4</v>
      </c>
      <c r="I33" s="294" t="n">
        <f aca="false">ROUND(I14/(1-I24),1)</f>
        <v>247.1</v>
      </c>
      <c r="J33" s="294" t="n">
        <f aca="false">ROUND(J14/(1-J24),1)</f>
        <v>235.1</v>
      </c>
      <c r="K33" s="294" t="n">
        <f aca="false">ROUND(K14/(1-K24),1)</f>
        <v>216.8</v>
      </c>
      <c r="L33" s="294" t="n">
        <f aca="false">ROUND(L14/(1-L24),1)</f>
        <v>236.7</v>
      </c>
      <c r="M33" s="294" t="n">
        <f aca="false">ROUND(M14/(1-M24),1)</f>
        <v>262</v>
      </c>
      <c r="N33" s="294" t="n">
        <f aca="false">ROUND(N14/(1-N24),1)</f>
        <v>272.1</v>
      </c>
      <c r="O33" s="294"/>
      <c r="Q33" s="294" t="n">
        <f aca="false">ROUND(Q14/(1-Q24),1)</f>
        <v>4150.1</v>
      </c>
      <c r="R33" s="294" t="n">
        <f aca="false">ROUND(R14/(1-R24),1)</f>
        <v>8165.9</v>
      </c>
    </row>
    <row r="34" customFormat="false" ht="12.75" hidden="false" customHeight="false" outlineLevel="0" collapsed="false">
      <c r="A34" s="294" t="s">
        <v>260</v>
      </c>
      <c r="B34" s="294"/>
      <c r="C34" s="294" t="n">
        <f aca="false">ROUND(C15/(1-C25),1)</f>
        <v>342</v>
      </c>
      <c r="D34" s="294" t="n">
        <f aca="false">ROUND(D15/(1-D25),1)</f>
        <v>318.6</v>
      </c>
      <c r="E34" s="294" t="n">
        <f aca="false">ROUND(E15/(1-E25),1)</f>
        <v>302.1</v>
      </c>
      <c r="F34" s="294" t="n">
        <f aca="false">ROUND(F15/(1-F25),1)</f>
        <v>376</v>
      </c>
      <c r="G34" s="294" t="n">
        <f aca="false">ROUND(G15/(1-G25),1)</f>
        <v>401.4</v>
      </c>
      <c r="H34" s="294" t="n">
        <f aca="false">ROUND(H15/(1-H25),1)</f>
        <v>374.4</v>
      </c>
      <c r="I34" s="294" t="n">
        <f aca="false">ROUND(I15/(1-I25),1)</f>
        <v>248.1</v>
      </c>
      <c r="J34" s="294" t="n">
        <f aca="false">ROUND(J15/(1-J25),1)</f>
        <v>265.6</v>
      </c>
      <c r="K34" s="294" t="n">
        <f aca="false">ROUND(K15/(1-K25),1)</f>
        <v>337.8</v>
      </c>
      <c r="L34" s="294" t="n">
        <f aca="false">ROUND(L15/(1-L25),1)</f>
        <v>221.5</v>
      </c>
      <c r="M34" s="294" t="n">
        <f aca="false">ROUND(M15/(1-M25),1)</f>
        <v>268.7</v>
      </c>
      <c r="N34" s="294" t="n">
        <f aca="false">ROUND(N15/(1-N25),1)</f>
        <v>418.5</v>
      </c>
      <c r="O34" s="294"/>
      <c r="Q34" s="294" t="n">
        <f aca="false">ROUND(Q15/(1-Q25),1)</f>
        <v>12391</v>
      </c>
      <c r="R34" s="294" t="n">
        <f aca="false">ROUND(R15/(1-R25),1)</f>
        <v>12391</v>
      </c>
    </row>
    <row r="35" customFormat="false" ht="12.75" hidden="false" customHeight="false" outlineLevel="0" collapsed="false">
      <c r="A35" s="294" t="s">
        <v>261</v>
      </c>
      <c r="B35" s="294"/>
      <c r="C35" s="294" t="n">
        <f aca="false">ROUND(C16/(1-C26),1)</f>
        <v>766</v>
      </c>
      <c r="D35" s="294" t="n">
        <f aca="false">ROUND(D16/(1-D26),1)</f>
        <v>759.5</v>
      </c>
      <c r="E35" s="294" t="n">
        <f aca="false">ROUND(E16/(1-E26),1)</f>
        <v>709.2</v>
      </c>
      <c r="F35" s="294" t="n">
        <f aca="false">ROUND(F16/(1-F26),1)</f>
        <v>629.9</v>
      </c>
      <c r="G35" s="294" t="n">
        <f aca="false">ROUND(G16/(1-G26),1)</f>
        <v>650.5</v>
      </c>
      <c r="H35" s="294" t="n">
        <f aca="false">ROUND(H16/(1-H26),1)</f>
        <v>695.8</v>
      </c>
      <c r="I35" s="294" t="n">
        <f aca="false">ROUND(I16/(1-I26),1)</f>
        <v>824.2</v>
      </c>
      <c r="J35" s="294" t="n">
        <f aca="false">ROUND(J16/(1-J26),1)</f>
        <v>806.3</v>
      </c>
      <c r="K35" s="294" t="n">
        <f aca="false">ROUND(K16/(1-K26),1)</f>
        <v>681.1</v>
      </c>
      <c r="L35" s="294" t="n">
        <f aca="false">ROUND(L16/(1-L26),1)</f>
        <v>699.3</v>
      </c>
      <c r="M35" s="294" t="n">
        <f aca="false">ROUND(M16/(1-M26),1)</f>
        <v>693.1</v>
      </c>
      <c r="N35" s="294" t="n">
        <f aca="false">ROUND(N16/(1-N26),1)</f>
        <v>623.2</v>
      </c>
      <c r="O35" s="294"/>
    </row>
    <row r="36" customFormat="false" ht="12.75" hidden="false" customHeight="false" outlineLevel="0" collapsed="false">
      <c r="A36" s="294" t="s">
        <v>262</v>
      </c>
      <c r="B36" s="294"/>
      <c r="C36" s="294" t="n">
        <f aca="false">ROUND(C17/(1-C27),1)</f>
        <v>111.5</v>
      </c>
      <c r="D36" s="294" t="n">
        <f aca="false">ROUND(D17/(1-D27),1)</f>
        <v>95.5</v>
      </c>
      <c r="E36" s="294" t="n">
        <f aca="false">ROUND(E17/(1-E27),1)</f>
        <v>86.4</v>
      </c>
      <c r="F36" s="294" t="n">
        <f aca="false">ROUND(F17/(1-F27),1)</f>
        <v>178</v>
      </c>
      <c r="G36" s="294" t="n">
        <f aca="false">ROUND(G17/(1-G27),1)</f>
        <v>151.2</v>
      </c>
      <c r="H36" s="294" t="n">
        <f aca="false">ROUND(H17/(1-H27),1)</f>
        <v>138.4</v>
      </c>
      <c r="I36" s="294" t="n">
        <f aca="false">ROUND(I17/(1-I27),1)</f>
        <v>143.7</v>
      </c>
      <c r="J36" s="294" t="n">
        <f aca="false">ROUND(J17/(1-J27),1)</f>
        <v>138.2</v>
      </c>
      <c r="K36" s="294" t="n">
        <f aca="false">ROUND(K17/(1-K27),1)</f>
        <v>135.5</v>
      </c>
      <c r="L36" s="294" t="n">
        <f aca="false">ROUND(L17/(1-L27),1)</f>
        <v>122.1</v>
      </c>
      <c r="M36" s="294" t="n">
        <f aca="false">ROUND(M17/(1-M27),1)</f>
        <v>129.6</v>
      </c>
      <c r="N36" s="294" t="n">
        <f aca="false">ROUND(N17/(1-N27),1)</f>
        <v>123.3</v>
      </c>
      <c r="O36" s="294"/>
      <c r="Q36" s="294" t="n">
        <f aca="false">ROUND(Q17/(1-Q27),1)</f>
        <v>0</v>
      </c>
      <c r="R36" s="294" t="n">
        <f aca="false">ROUND(R17/(1-R27),1)</f>
        <v>0</v>
      </c>
    </row>
    <row r="37" customFormat="false" ht="12.75" hidden="false" customHeight="false" outlineLevel="0" collapsed="false">
      <c r="A37" s="294" t="s">
        <v>263</v>
      </c>
      <c r="B37" s="294"/>
      <c r="C37" s="300" t="n">
        <f aca="false">ROUND(C18/(1-C28),1)</f>
        <v>229.3</v>
      </c>
      <c r="D37" s="300" t="n">
        <f aca="false">ROUND(D18/(1-D28),1)</f>
        <v>253.1</v>
      </c>
      <c r="E37" s="300" t="n">
        <f aca="false">ROUND(E18/(1-E28),1)</f>
        <v>277.2</v>
      </c>
      <c r="F37" s="300" t="n">
        <f aca="false">ROUND(F18/(1-F28),1)</f>
        <v>370.1</v>
      </c>
      <c r="G37" s="300" t="n">
        <f aca="false">ROUND(G18/(1-G28),1)</f>
        <v>350.2</v>
      </c>
      <c r="H37" s="300" t="n">
        <f aca="false">ROUND(H18/(1-H28),1)</f>
        <v>352.6</v>
      </c>
      <c r="I37" s="300" t="n">
        <f aca="false">ROUND(I18/(1-I28),1)</f>
        <v>357</v>
      </c>
      <c r="J37" s="300" t="n">
        <f aca="false">ROUND(J18/(1-J28),1)</f>
        <v>339.9</v>
      </c>
      <c r="K37" s="300" t="n">
        <f aca="false">ROUND(K18/(1-K28),1)</f>
        <v>293.1</v>
      </c>
      <c r="L37" s="300" t="n">
        <f aca="false">ROUND(L18/(1-L28),1)</f>
        <v>281.8</v>
      </c>
      <c r="M37" s="300" t="n">
        <f aca="false">ROUND(M18/(1-M28),1)</f>
        <v>315.4</v>
      </c>
      <c r="N37" s="300" t="n">
        <f aca="false">ROUND(N18/(1-N28),1)</f>
        <v>356.7</v>
      </c>
      <c r="O37" s="294"/>
      <c r="Q37" s="300" t="n">
        <f aca="false">ROUND(Q18/(1-Q28),1)</f>
        <v>5111</v>
      </c>
      <c r="R37" s="300" t="n">
        <f aca="false">ROUND(R18/(1-R28),1)</f>
        <v>5111</v>
      </c>
    </row>
    <row r="38" customFormat="false" ht="12.75" hidden="false" customHeight="false" outlineLevel="0" collapsed="false">
      <c r="A38" s="294" t="s">
        <v>264</v>
      </c>
      <c r="B38" s="294"/>
      <c r="C38" s="294" t="n">
        <f aca="false">SUM(C31:C37)</f>
        <v>2612.8</v>
      </c>
      <c r="D38" s="294" t="n">
        <f aca="false">SUM(D31:D37)</f>
        <v>2601.7</v>
      </c>
      <c r="E38" s="294" t="n">
        <f aca="false">SUM(E31:E37)</f>
        <v>2540.1</v>
      </c>
      <c r="F38" s="294" t="n">
        <f aca="false">SUM(F31:F37)</f>
        <v>2712.1</v>
      </c>
      <c r="G38" s="294" t="n">
        <f aca="false">SUM(G31:G37)</f>
        <v>2681.6</v>
      </c>
      <c r="H38" s="294" t="n">
        <f aca="false">SUM(H31:H37)</f>
        <v>2687</v>
      </c>
      <c r="I38" s="294" t="n">
        <f aca="false">SUM(I31:I37)</f>
        <v>2717.6</v>
      </c>
      <c r="J38" s="294" t="n">
        <f aca="false">SUM(J31:J37)</f>
        <v>2711.7</v>
      </c>
      <c r="K38" s="294" t="n">
        <f aca="false">SUM(K31:K37)</f>
        <v>2518.4</v>
      </c>
      <c r="L38" s="294" t="n">
        <f aca="false">SUM(L31:L37)</f>
        <v>2375</v>
      </c>
      <c r="M38" s="294" t="n">
        <f aca="false">SUM(M31:M37)</f>
        <v>2458.9</v>
      </c>
      <c r="N38" s="294" t="n">
        <f aca="false">SUM(N31:N37)</f>
        <v>2570.1</v>
      </c>
      <c r="O38" s="294"/>
      <c r="Q38" s="294" t="n">
        <f aca="false">SUM(Q31:Q37)</f>
        <v>31158.8</v>
      </c>
      <c r="R38" s="294" t="n">
        <f aca="false">SUM(R31:R37)</f>
        <v>35667.2</v>
      </c>
    </row>
    <row r="39" customFormat="false" ht="12.75" hidden="false" customHeight="false" outlineLevel="0" collapsed="false">
      <c r="A39" s="294" t="s">
        <v>265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</row>
    <row r="40" customFormat="false" ht="12.75" hidden="false" customHeight="false" outlineLevel="0" collapsed="false">
      <c r="A40" s="294" t="s">
        <v>266</v>
      </c>
      <c r="B40" s="294"/>
      <c r="C40" s="294" t="n">
        <f aca="false">Forecast01!B99</f>
        <v>465.384</v>
      </c>
      <c r="D40" s="294" t="n">
        <f aca="false">Forecast01!C99</f>
        <v>467.264</v>
      </c>
      <c r="E40" s="294" t="n">
        <f aca="false">Forecast01!D99</f>
        <v>462.9</v>
      </c>
      <c r="F40" s="294" t="n">
        <f aca="false">Forecast01!E99</f>
        <v>440</v>
      </c>
      <c r="G40" s="294" t="n">
        <f aca="false">Forecast01!F99</f>
        <v>436.9</v>
      </c>
      <c r="H40" s="294" t="n">
        <f aca="false">Forecast01!G99</f>
        <v>480</v>
      </c>
      <c r="I40" s="294" t="n">
        <f aca="false">Forecast01!H99</f>
        <v>471</v>
      </c>
      <c r="J40" s="294" t="n">
        <f aca="false">Forecast01!I99</f>
        <v>457.4</v>
      </c>
      <c r="K40" s="294" t="n">
        <f aca="false">Forecast01!J99</f>
        <v>444.3</v>
      </c>
      <c r="L40" s="294" t="n">
        <f aca="false">Forecast01!K99</f>
        <v>425.475</v>
      </c>
      <c r="M40" s="294" t="n">
        <f aca="false">Forecast01!L99</f>
        <v>424.545</v>
      </c>
      <c r="N40" s="294" t="n">
        <f aca="false">Forecast01!M99</f>
        <v>428.265</v>
      </c>
      <c r="O40" s="294"/>
      <c r="Q40" s="294" t="n">
        <v>5221</v>
      </c>
      <c r="R40" s="294" t="n">
        <v>5221</v>
      </c>
    </row>
    <row r="41" customFormat="false" ht="12.75" hidden="false" customHeight="false" outlineLevel="0" collapsed="false">
      <c r="A41" s="294" t="s">
        <v>267</v>
      </c>
      <c r="B41" s="294"/>
      <c r="C41" s="300" t="n">
        <f aca="false">Forecast01!B82</f>
        <v>298.68</v>
      </c>
      <c r="D41" s="300" t="n">
        <f aca="false">Forecast01!C82</f>
        <v>290.386</v>
      </c>
      <c r="E41" s="300" t="n">
        <f aca="false">Forecast01!D82</f>
        <v>244.5</v>
      </c>
      <c r="F41" s="300" t="n">
        <f aca="false">Forecast01!E82</f>
        <v>188.3</v>
      </c>
      <c r="G41" s="300" t="n">
        <f aca="false">Forecast01!F82</f>
        <v>212</v>
      </c>
      <c r="H41" s="300" t="n">
        <f aca="false">Forecast01!G82</f>
        <v>214.1</v>
      </c>
      <c r="I41" s="300" t="n">
        <f aca="false">Forecast01!H82</f>
        <v>351.1</v>
      </c>
      <c r="J41" s="300" t="n">
        <f aca="false">Forecast01!I82</f>
        <v>346.9</v>
      </c>
      <c r="K41" s="300" t="n">
        <f aca="false">Forecast01!J82</f>
        <v>235.1</v>
      </c>
      <c r="L41" s="300" t="n">
        <f aca="false">Forecast01!K82</f>
        <v>272.064</v>
      </c>
      <c r="M41" s="300" t="n">
        <f aca="false">Forecast01!L82</f>
        <v>266.858</v>
      </c>
      <c r="N41" s="300" t="n">
        <f aca="false">Forecast01!M82</f>
        <v>193.362</v>
      </c>
      <c r="O41" s="294"/>
      <c r="Q41" s="300" t="n">
        <v>2900</v>
      </c>
      <c r="R41" s="300" t="n">
        <v>2900</v>
      </c>
    </row>
    <row r="42" customFormat="false" ht="12.75" hidden="false" customHeight="false" outlineLevel="0" collapsed="false">
      <c r="A42" s="294" t="s">
        <v>268</v>
      </c>
      <c r="B42" s="294"/>
      <c r="C42" s="302" t="n">
        <f aca="false">C38-C40-C41</f>
        <v>1848.736</v>
      </c>
      <c r="D42" s="302" t="n">
        <f aca="false">D38-D40-D41</f>
        <v>1844.05</v>
      </c>
      <c r="E42" s="302" t="n">
        <f aca="false">E38-E40-E41</f>
        <v>1832.7</v>
      </c>
      <c r="F42" s="302" t="n">
        <f aca="false">F38-F40-F41</f>
        <v>2083.8</v>
      </c>
      <c r="G42" s="302" t="n">
        <f aca="false">G38-G40-G41</f>
        <v>2032.7</v>
      </c>
      <c r="H42" s="302" t="n">
        <f aca="false">H38-H40-H41</f>
        <v>1992.9</v>
      </c>
      <c r="I42" s="302" t="n">
        <f aca="false">I38-I40-I41</f>
        <v>1895.5</v>
      </c>
      <c r="J42" s="302" t="n">
        <f aca="false">J38-J40-J41</f>
        <v>1907.4</v>
      </c>
      <c r="K42" s="302" t="n">
        <f aca="false">K38-K40-K41</f>
        <v>1839</v>
      </c>
      <c r="L42" s="302" t="n">
        <f aca="false">L38-L40-L41</f>
        <v>1677.461</v>
      </c>
      <c r="M42" s="302" t="n">
        <f aca="false">M38-M40-M41</f>
        <v>1767.497</v>
      </c>
      <c r="N42" s="302" t="n">
        <f aca="false">N38-N40-N41</f>
        <v>1948.473</v>
      </c>
      <c r="O42" s="294"/>
      <c r="Q42" s="294" t="n">
        <f aca="false">Q38-Q40-Q41</f>
        <v>23037.8</v>
      </c>
      <c r="R42" s="294" t="n">
        <f aca="false">R38-R40-R41</f>
        <v>27546.2</v>
      </c>
    </row>
    <row r="43" customFormat="false" ht="12.75" hidden="false" customHeight="false" outlineLevel="0" collapsed="false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  <row r="44" customFormat="false" ht="12.75" hidden="false" customHeight="false" outlineLevel="0" collapsed="false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  <row r="45" customFormat="false" ht="12.75" hidden="false" customHeight="false" outlineLevel="0" collapsed="false">
      <c r="A45" s="294" t="s">
        <v>269</v>
      </c>
      <c r="B45" s="294"/>
      <c r="C45" s="305" t="n">
        <f aca="false">C42*C1</f>
        <v>57310.816</v>
      </c>
      <c r="D45" s="305" t="n">
        <f aca="false">D42*D1</f>
        <v>51633.4</v>
      </c>
      <c r="E45" s="305" t="n">
        <f aca="false">E42*E1</f>
        <v>56813.7</v>
      </c>
      <c r="F45" s="305" t="n">
        <f aca="false">F42*F1</f>
        <v>62514</v>
      </c>
      <c r="G45" s="305" t="n">
        <f aca="false">G42*G1</f>
        <v>63013.7</v>
      </c>
      <c r="H45" s="305" t="n">
        <f aca="false">H42*H1</f>
        <v>59787</v>
      </c>
      <c r="I45" s="305" t="n">
        <f aca="false">I42*I1</f>
        <v>58760.5</v>
      </c>
      <c r="J45" s="305" t="n">
        <f aca="false">J42*J1</f>
        <v>59129.4</v>
      </c>
      <c r="K45" s="305" t="n">
        <f aca="false">K42*K1</f>
        <v>55170</v>
      </c>
      <c r="L45" s="305" t="n">
        <f aca="false">L42*L1</f>
        <v>52001.291</v>
      </c>
      <c r="M45" s="305" t="n">
        <f aca="false">M42*M1</f>
        <v>53024.91</v>
      </c>
      <c r="N45" s="305" t="n">
        <f aca="false">N42*N1</f>
        <v>60402.663</v>
      </c>
      <c r="O45" s="306" t="n">
        <f aca="false">SUM(C45:N45)</f>
        <v>689561.38</v>
      </c>
      <c r="Q45" s="305" t="n">
        <f aca="false">Q42/12*365</f>
        <v>700733.083333333</v>
      </c>
      <c r="R45" s="305" t="n">
        <f aca="false">R42/12*365</f>
        <v>837863.583333333</v>
      </c>
    </row>
    <row r="46" customFormat="false" ht="12.75" hidden="false" customHeight="false" outlineLevel="0" collapsed="false">
      <c r="A46" s="294"/>
      <c r="B46" s="294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6"/>
      <c r="Q46" s="305"/>
      <c r="R46" s="305"/>
    </row>
    <row r="47" customFormat="false" ht="12.75" hidden="false" customHeight="false" outlineLevel="0" collapsed="false">
      <c r="A47" s="294"/>
      <c r="B47" s="294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6"/>
      <c r="Q47" s="305"/>
      <c r="R47" s="305"/>
    </row>
    <row r="48" customFormat="false" ht="12.75" hidden="false" customHeight="false" outlineLevel="0" collapsed="false">
      <c r="A48" s="301" t="s">
        <v>270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294" t="s">
        <v>257</v>
      </c>
      <c r="B49" s="294"/>
      <c r="C49" s="294" t="n">
        <f aca="false">(C31-C12)*C$1</f>
        <v>701.065</v>
      </c>
      <c r="D49" s="294" t="n">
        <f aca="false">(D31-D12)*D$1</f>
        <v>609.224</v>
      </c>
      <c r="E49" s="294" t="n">
        <f aca="false">(E31-E12)*E$1</f>
        <v>678.899999999999</v>
      </c>
      <c r="F49" s="294" t="n">
        <f aca="false">(F31-F12)*F$1</f>
        <v>504</v>
      </c>
      <c r="G49" s="294" t="n">
        <f aca="false">(G31-G12)*G$1</f>
        <v>561.100000000001</v>
      </c>
      <c r="H49" s="294" t="n">
        <f aca="false">(H31-H12)*H$1</f>
        <v>573.000000000001</v>
      </c>
      <c r="I49" s="294" t="n">
        <f aca="false">(I31-I12)*I$1</f>
        <v>604.499999999998</v>
      </c>
      <c r="J49" s="294" t="n">
        <f aca="false">(J31-J12)*J$1</f>
        <v>632.400000000001</v>
      </c>
      <c r="K49" s="294" t="n">
        <f aca="false">(K31-K12)*K$1</f>
        <v>576.000000000001</v>
      </c>
      <c r="L49" s="294" t="n">
        <f aca="false">(L31-L12)*L$1</f>
        <v>638.786</v>
      </c>
      <c r="M49" s="294" t="n">
        <f aca="false">(M31-M12)*M$1</f>
        <v>729.6</v>
      </c>
      <c r="N49" s="294" t="n">
        <f aca="false">(N31-N12)*N$1</f>
        <v>689.75</v>
      </c>
      <c r="O49" s="294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294" t="s">
        <v>258</v>
      </c>
      <c r="B50" s="294"/>
      <c r="C50" s="294" t="n">
        <f aca="false">(C32-C13)*C$1</f>
        <v>641.855</v>
      </c>
      <c r="D50" s="294" t="n">
        <f aca="false">(D32-D13)*D$1</f>
        <v>597.267999999997</v>
      </c>
      <c r="E50" s="294" t="n">
        <f aca="false">(E32-E13)*E$1</f>
        <v>638.599999999999</v>
      </c>
      <c r="F50" s="294" t="n">
        <f aca="false">(F32-F13)*F$1</f>
        <v>816.000000000001</v>
      </c>
      <c r="G50" s="294" t="n">
        <f aca="false">(G32-G13)*G$1</f>
        <v>756.399999999999</v>
      </c>
      <c r="H50" s="294" t="n">
        <f aca="false">(H32-H13)*H$1</f>
        <v>693.000000000001</v>
      </c>
      <c r="I50" s="294" t="n">
        <f aca="false">(I32-I13)*I$1</f>
        <v>709.899999999999</v>
      </c>
      <c r="J50" s="294" t="n">
        <f aca="false">(J32-J13)*J$1</f>
        <v>722.299999999999</v>
      </c>
      <c r="K50" s="294" t="n">
        <f aca="false">(K32-K13)*K$1</f>
        <v>636</v>
      </c>
      <c r="L50" s="294" t="n">
        <f aca="false">(L32-L13)*L$1</f>
        <v>558.749999999999</v>
      </c>
      <c r="M50" s="294" t="n">
        <f aca="false">(M32-M13)*M$1</f>
        <v>408.319999999998</v>
      </c>
      <c r="N50" s="294" t="n">
        <f aca="false">(N32-N13)*N$1</f>
        <v>461.993000000001</v>
      </c>
      <c r="O50" s="294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294" t="s">
        <v>259</v>
      </c>
      <c r="B51" s="294"/>
      <c r="C51" s="294" t="n">
        <f aca="false">(C33-C14)*C$1</f>
        <v>373.736</v>
      </c>
      <c r="D51" s="294" t="n">
        <f aca="false">(D33-D14)*D$1</f>
        <v>354.256</v>
      </c>
      <c r="E51" s="294" t="n">
        <f aca="false">(E33-E14)*E$1</f>
        <v>396.8</v>
      </c>
      <c r="F51" s="294" t="n">
        <f aca="false">(F33-F14)*F$1</f>
        <v>311.999999999999</v>
      </c>
      <c r="G51" s="294" t="n">
        <f aca="false">(G33-G14)*G$1</f>
        <v>331.7</v>
      </c>
      <c r="H51" s="294" t="n">
        <f aca="false">(H33-H14)*H$1</f>
        <v>327</v>
      </c>
      <c r="I51" s="294" t="n">
        <f aca="false">(I33-I14)*I$1</f>
        <v>362.7</v>
      </c>
      <c r="J51" s="294" t="n">
        <f aca="false">(J33-J14)*J$1</f>
        <v>347.2</v>
      </c>
      <c r="K51" s="294" t="n">
        <f aca="false">(K33-K14)*K$1</f>
        <v>309</v>
      </c>
      <c r="L51" s="294" t="n">
        <f aca="false">(L33-L14)*L$1</f>
        <v>349.68</v>
      </c>
      <c r="M51" s="294" t="n">
        <f aca="false">(M33-M14)*M$1</f>
        <v>372</v>
      </c>
      <c r="N51" s="294" t="n">
        <f aca="false">(N33-N14)*N$1</f>
        <v>401.202</v>
      </c>
      <c r="O51" s="294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294" t="s">
        <v>251</v>
      </c>
      <c r="B52" s="294"/>
      <c r="C52" s="302" t="n">
        <f aca="false">(C34-C15)*C$1</f>
        <v>26.3190000000014</v>
      </c>
      <c r="D52" s="302" t="n">
        <f aca="false">(D34-D15)*D$1</f>
        <v>22.9320000000005</v>
      </c>
      <c r="E52" s="302" t="n">
        <f aca="false">(E34-E15)*E$1</f>
        <v>24.8000000000004</v>
      </c>
      <c r="F52" s="302" t="n">
        <f aca="false">(F34-F15)*F$1</f>
        <v>26.9999999999993</v>
      </c>
      <c r="G52" s="302" t="n">
        <f aca="false">(G34-G15)*G$1</f>
        <v>31</v>
      </c>
      <c r="H52" s="302" t="n">
        <f aca="false">(H34-H15)*H$1</f>
        <v>26.9999999999993</v>
      </c>
      <c r="I52" s="302" t="n">
        <f aca="false">(I34-I15)*I$1</f>
        <v>18.5999999999998</v>
      </c>
      <c r="J52" s="302" t="n">
        <f aca="false">(J34-J15)*J$1</f>
        <v>21.7000000000014</v>
      </c>
      <c r="K52" s="302" t="n">
        <f aca="false">(K34-K15)*K$1</f>
        <v>24.0000000000003</v>
      </c>
      <c r="L52" s="302" t="n">
        <f aca="false">(L34-L15)*L$1</f>
        <v>16.5385000000001</v>
      </c>
      <c r="M52" s="294" t="n">
        <f aca="false">(M34-M15)*M$1</f>
        <v>18.8249999999999</v>
      </c>
      <c r="N52" s="294" t="n">
        <f aca="false">(N34-N15)*N$1</f>
        <v>32.596500000001</v>
      </c>
      <c r="O52" s="294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294" t="s">
        <v>271</v>
      </c>
      <c r="B53" s="294"/>
      <c r="C53" s="302" t="n">
        <f aca="false">(C35-C16)*C$1</f>
        <v>60.0160000000011</v>
      </c>
      <c r="D53" s="302" t="n">
        <f aca="false">(D35-D16)*D$1</f>
        <v>51.8000000000006</v>
      </c>
      <c r="E53" s="302" t="n">
        <f aca="false">(E35-E16)*E$1</f>
        <v>55.7999999999986</v>
      </c>
      <c r="F53" s="302" t="n">
        <f aca="false">(F35-F16)*F$1</f>
        <v>48.0000000000007</v>
      </c>
      <c r="G53" s="302" t="n">
        <f aca="false">(G35-G16)*G$1</f>
        <v>49.6000000000007</v>
      </c>
      <c r="H53" s="302" t="n">
        <f aca="false">(H35-H16)*H$1</f>
        <v>50.999999999998</v>
      </c>
      <c r="I53" s="302" t="n">
        <f aca="false">(I35-I16)*I$1</f>
        <v>65.1000000000007</v>
      </c>
      <c r="J53" s="302" t="n">
        <f aca="false">(J35-J16)*J$1</f>
        <v>62</v>
      </c>
      <c r="K53" s="302" t="n">
        <f aca="false">(K35-K16)*K$1</f>
        <v>51.0000000000014</v>
      </c>
      <c r="L53" s="302" t="n">
        <f aca="false">(L35-L16)*L$1</f>
        <v>54.590999999999</v>
      </c>
      <c r="M53" s="294" t="n">
        <f aca="false">(M35-M16)*M$1</f>
        <v>50.9100000000001</v>
      </c>
      <c r="N53" s="294" t="n">
        <f aca="false">(N35-N16)*N$1</f>
        <v>48.7630000000029</v>
      </c>
      <c r="O53" s="294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294" t="s">
        <v>262</v>
      </c>
      <c r="B54" s="294"/>
      <c r="C54" s="294" t="n">
        <f aca="false">(C36-C17)*C$1</f>
        <v>52.7309999999998</v>
      </c>
      <c r="D54" s="294" t="n">
        <f aca="false">(D36-D17)*D$1</f>
        <v>40.7960000000002</v>
      </c>
      <c r="E54" s="294" t="n">
        <f aca="false">(E36-E17)*E$1</f>
        <v>40.2999999999999</v>
      </c>
      <c r="F54" s="294" t="n">
        <f aca="false">(F36-F17)*F$1</f>
        <v>84.0000000000003</v>
      </c>
      <c r="G54" s="294" t="n">
        <f aca="false">(G36-G17)*G$1</f>
        <v>74.4000000000002</v>
      </c>
      <c r="H54" s="294" t="n">
        <f aca="false">(H36-H17)*H$1</f>
        <v>66.0000000000005</v>
      </c>
      <c r="I54" s="294" t="n">
        <f aca="false">(I36-I17)*I$1</f>
        <v>68.1999999999997</v>
      </c>
      <c r="J54" s="294" t="n">
        <f aca="false">(J36-J17)*J$1</f>
        <v>68.1999999999997</v>
      </c>
      <c r="K54" s="294" t="n">
        <f aca="false">(K36-K17)*K$1</f>
        <v>62.9999999999998</v>
      </c>
      <c r="L54" s="294" t="n">
        <f aca="false">(L36-L17)*L$1</f>
        <v>58.8999999999997</v>
      </c>
      <c r="M54" s="294" t="n">
        <f aca="false">(M36-M17)*M$1</f>
        <v>60</v>
      </c>
      <c r="N54" s="294" t="n">
        <f aca="false">(N36-N17)*N$1</f>
        <v>58.8999999999997</v>
      </c>
      <c r="O54" s="294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294" t="s">
        <v>263</v>
      </c>
      <c r="B55" s="294"/>
      <c r="C55" s="307" t="n">
        <f aca="false">(C37-C18)*C$1</f>
        <v>94.116</v>
      </c>
      <c r="D55" s="307" t="n">
        <f aca="false">(D37-D18)*D$1</f>
        <v>91.9799999999999</v>
      </c>
      <c r="E55" s="307" t="n">
        <f aca="false">(E37-E18)*E$1</f>
        <v>111.600000000001</v>
      </c>
      <c r="F55" s="307" t="n">
        <f aca="false">(F37-F18)*F$1</f>
        <v>145.59</v>
      </c>
      <c r="G55" s="307" t="n">
        <f aca="false">(G37-G18)*G$1</f>
        <v>142.599999999999</v>
      </c>
      <c r="H55" s="307" t="n">
        <f aca="false">(H37-H18)*H$1</f>
        <v>138.000000000001</v>
      </c>
      <c r="I55" s="307" t="n">
        <f aca="false">(I37-I18)*I$1</f>
        <v>145.7</v>
      </c>
      <c r="J55" s="307" t="n">
        <f aca="false">(J37-J18)*J$1</f>
        <v>139.499999999998</v>
      </c>
      <c r="K55" s="307" t="n">
        <f aca="false">(K37-K18)*K$1</f>
        <v>114.000000000002</v>
      </c>
      <c r="L55" s="307" t="n">
        <f aca="false">(L37-L18)*L$1</f>
        <v>115.009999999999</v>
      </c>
      <c r="M55" s="307" t="n">
        <f aca="false">(M37-M18)*M$1</f>
        <v>123.599999999998</v>
      </c>
      <c r="N55" s="307" t="n">
        <f aca="false">(N37-N18)*N$1</f>
        <v>146.363337999999</v>
      </c>
      <c r="O55" s="294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294" t="s">
        <v>272</v>
      </c>
      <c r="B56" s="294"/>
      <c r="C56" s="308" t="n">
        <f aca="false">SUM(C49:C55)</f>
        <v>1949.838</v>
      </c>
      <c r="D56" s="308" t="n">
        <f aca="false">SUM(D49:D55)</f>
        <v>1768.256</v>
      </c>
      <c r="E56" s="308" t="n">
        <f aca="false">SUM(E49:E55)</f>
        <v>1946.8</v>
      </c>
      <c r="F56" s="308" t="n">
        <f aca="false">SUM(F49:F55)</f>
        <v>1936.59</v>
      </c>
      <c r="G56" s="308" t="n">
        <f aca="false">SUM(G49:G55)</f>
        <v>1946.8</v>
      </c>
      <c r="H56" s="308" t="n">
        <f aca="false">SUM(H49:H55)</f>
        <v>1875</v>
      </c>
      <c r="I56" s="308" t="n">
        <f aca="false">SUM(I49:I55)</f>
        <v>1974.7</v>
      </c>
      <c r="J56" s="308" t="n">
        <f aca="false">SUM(J49:J55)</f>
        <v>1993.3</v>
      </c>
      <c r="K56" s="308" t="n">
        <f aca="false">SUM(K49:K55)</f>
        <v>1773.00000000001</v>
      </c>
      <c r="L56" s="308" t="n">
        <f aca="false">SUM(L49:L55)</f>
        <v>1792.2555</v>
      </c>
      <c r="M56" s="308" t="n">
        <f aca="false">SUM(M49:M55)</f>
        <v>1763.255</v>
      </c>
      <c r="N56" s="308" t="n">
        <f aca="false">SUM(N49:N55)</f>
        <v>1839.567838</v>
      </c>
      <c r="O56" s="294" t="n">
        <f aca="false">SUM(C56:N56)</f>
        <v>22559.362338</v>
      </c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294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294" t="s">
        <v>273</v>
      </c>
      <c r="B59" s="294"/>
      <c r="C59" s="309" t="n">
        <f aca="false">+ROUND(((C12+C13+C14+C15+C17+C18)*-C76*C$1),0)</f>
        <v>-996</v>
      </c>
      <c r="D59" s="309" t="n">
        <f aca="false">+ROUND(((D12+D13+D14+D15+D17+D18)*-D76*D$1),0)</f>
        <v>-898</v>
      </c>
      <c r="E59" s="309" t="n">
        <f aca="false">+ROUND(((E12+E13+E14+E15+E17+E18)*-E76*E$1),0)</f>
        <v>-988</v>
      </c>
      <c r="F59" s="309" t="n">
        <f aca="false">+ROUND(((F12+F13+F14+F15+F17+F18)*-F76*F$1),0)</f>
        <v>-1090</v>
      </c>
      <c r="G59" s="309" t="n">
        <f aca="false">+ROUND(((G12+G13+G14+G15+G17+G18)*-G76*G$1),0)</f>
        <v>-1099</v>
      </c>
      <c r="H59" s="309" t="n">
        <f aca="false">+ROUND(((H12+H13+H14+H15+H17+H18)*-H76*H$1),0)</f>
        <v>-1042</v>
      </c>
      <c r="I59" s="309" t="n">
        <f aca="false">+ROUND(((I12+I13+I14+I15+I17+I18)*-I76*I$1),0)</f>
        <v>-1022</v>
      </c>
      <c r="J59" s="309" t="n">
        <f aca="false">+ROUND(((J12+J13+J14+J15+J17+J18)*-J76*J$1),0)</f>
        <v>-1028</v>
      </c>
      <c r="K59" s="310" t="n">
        <v>-958</v>
      </c>
      <c r="L59" s="309" t="n">
        <f aca="false">+ROUND(((L12+L13+L14+L15+L17+L18)*-L76*L$1),0)</f>
        <v>-904</v>
      </c>
      <c r="M59" s="309" t="n">
        <f aca="false">+ROUND(((M12+M13+M14+M15+M17+M18)*-M76*M$1),0)</f>
        <v>-923</v>
      </c>
      <c r="N59" s="309" t="n">
        <f aca="false">+ROUND(((N12+N13+N14+N15+N17+N18)*-N76*N$1),0)</f>
        <v>-1054</v>
      </c>
      <c r="O59" s="309" t="n">
        <f aca="false">SUM(C59:N59)</f>
        <v>-12002</v>
      </c>
      <c r="P59" s="0"/>
      <c r="Q59" s="311" t="n">
        <f aca="false">+ROUND(((O24+O26+O27+O28+O29+O35)*-Q76*30.4),0)</f>
        <v>-0</v>
      </c>
      <c r="R59" s="311" t="n">
        <f aca="false">+ROUND(((P24+P26+P27+P28+P29+P35)*-R76*30.4),0)</f>
        <v>-0</v>
      </c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294" t="s">
        <v>274</v>
      </c>
      <c r="B60" s="294"/>
      <c r="C60" s="312" t="n">
        <f aca="false">C45*-C73</f>
        <v>-22.9243264</v>
      </c>
      <c r="D60" s="312" t="n">
        <f aca="false">D45*-D73</f>
        <v>-20.65336</v>
      </c>
      <c r="E60" s="312" t="n">
        <f aca="false">E45*-E73</f>
        <v>-22.72548</v>
      </c>
      <c r="F60" s="312" t="n">
        <f aca="false">F45*-F73</f>
        <v>-25.0056</v>
      </c>
      <c r="G60" s="312" t="n">
        <f aca="false">G45*-G73</f>
        <v>-25.20548</v>
      </c>
      <c r="H60" s="312" t="n">
        <f aca="false">H45*-H73</f>
        <v>-23.9148</v>
      </c>
      <c r="I60" s="312" t="n">
        <f aca="false">I45*-I73</f>
        <v>-23.5042</v>
      </c>
      <c r="J60" s="312" t="n">
        <f aca="false">J45*-J73</f>
        <v>-23.65176</v>
      </c>
      <c r="K60" s="312" t="n">
        <f aca="false">K45*-K73</f>
        <v>-22.068</v>
      </c>
      <c r="L60" s="312" t="n">
        <f aca="false">L45*-L73</f>
        <v>-20.8005164</v>
      </c>
      <c r="M60" s="312" t="n">
        <f aca="false">M45*-M73</f>
        <v>-21.209964</v>
      </c>
      <c r="N60" s="312" t="n">
        <f aca="false">N45*-N73</f>
        <v>-24.1610652</v>
      </c>
      <c r="O60" s="309" t="n">
        <f aca="false">SUM(C60:N60)</f>
        <v>-275.824552</v>
      </c>
      <c r="P60" s="0"/>
      <c r="Q60" s="311" t="n">
        <f aca="false">+ROUND(((O32+O35)*-Q73*30.4),0)</f>
        <v>-0</v>
      </c>
      <c r="R60" s="311" t="n">
        <f aca="false">+ROUND(((P32+P35)*-R73*30.4),0)</f>
        <v>-0</v>
      </c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294" t="s">
        <v>275</v>
      </c>
      <c r="B61" s="294"/>
      <c r="C61" s="312" t="n">
        <f aca="false">C45*-C74</f>
        <v>-11.4621632</v>
      </c>
      <c r="D61" s="312" t="n">
        <f aca="false">D45*-D74</f>
        <v>-10.32668</v>
      </c>
      <c r="E61" s="312" t="n">
        <f aca="false">E45*-E74</f>
        <v>-11.36274</v>
      </c>
      <c r="F61" s="312" t="n">
        <f aca="false">F45*-F74</f>
        <v>-12.5028</v>
      </c>
      <c r="G61" s="312" t="n">
        <f aca="false">G45*-G74</f>
        <v>-12.60274</v>
      </c>
      <c r="H61" s="312" t="n">
        <f aca="false">H45*-H74</f>
        <v>-11.9574</v>
      </c>
      <c r="I61" s="312" t="n">
        <f aca="false">I45*-I74</f>
        <v>-11.7521</v>
      </c>
      <c r="J61" s="312" t="n">
        <f aca="false">J45*-J74</f>
        <v>-11.82588</v>
      </c>
      <c r="K61" s="312" t="n">
        <f aca="false">K45*-K74</f>
        <v>-11.034</v>
      </c>
      <c r="L61" s="312" t="n">
        <f aca="false">L45*-L74</f>
        <v>-10.4002582</v>
      </c>
      <c r="M61" s="312" t="n">
        <f aca="false">M45*-M74</f>
        <v>-10.604982</v>
      </c>
      <c r="N61" s="312" t="n">
        <f aca="false">N45*-N74</f>
        <v>-12.0805326</v>
      </c>
      <c r="O61" s="309" t="n">
        <f aca="false">SUM(C61:N61)</f>
        <v>-137.912276</v>
      </c>
      <c r="P61" s="0"/>
      <c r="Q61" s="311"/>
      <c r="R61" s="311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294"/>
      <c r="B62" s="294"/>
      <c r="C62" s="294"/>
      <c r="D62" s="294"/>
      <c r="E62" s="294"/>
      <c r="F62" s="308"/>
      <c r="G62" s="294"/>
      <c r="H62" s="294"/>
      <c r="I62" s="294"/>
      <c r="J62" s="294"/>
      <c r="K62" s="294"/>
      <c r="L62" s="294"/>
      <c r="M62" s="294"/>
      <c r="N62" s="294"/>
      <c r="O62" s="294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294" t="s">
        <v>276</v>
      </c>
      <c r="B63" s="294"/>
      <c r="C63" s="313" t="n">
        <f aca="false">ROUND((C56*C72),0)</f>
        <v>16008</v>
      </c>
      <c r="D63" s="313" t="n">
        <f aca="false">ROUND((D56*D72),0)</f>
        <v>9938</v>
      </c>
      <c r="E63" s="313" t="n">
        <f aca="false">ROUND((E56*E72),0)</f>
        <v>9695</v>
      </c>
      <c r="F63" s="313" t="n">
        <f aca="false">ROUND((F56*F72),0)</f>
        <v>9431</v>
      </c>
      <c r="G63" s="313" t="n">
        <f aca="false">ROUND((G56*G72),0)</f>
        <v>7437</v>
      </c>
      <c r="H63" s="313" t="n">
        <f aca="false">ROUND((H56*H72),0)</f>
        <v>5981</v>
      </c>
      <c r="I63" s="313" t="n">
        <f aca="false">ROUND((I56*I72),0)</f>
        <v>5470</v>
      </c>
      <c r="J63" s="313" t="n">
        <f aca="false">ROUND((J56*J72),0)</f>
        <v>5521</v>
      </c>
      <c r="K63" s="313" t="n">
        <f aca="false">ROUND((K56*K72),0)</f>
        <v>3457</v>
      </c>
      <c r="L63" s="313" t="n">
        <f aca="false">ROUND((L56*L72),0)</f>
        <v>4086</v>
      </c>
      <c r="M63" s="313" t="n">
        <f aca="false">ROUND((M56*M72),0)</f>
        <v>4461</v>
      </c>
      <c r="N63" s="313" t="n">
        <f aca="false">ROUND((N56*N72),0)</f>
        <v>5243</v>
      </c>
      <c r="O63" s="313" t="n">
        <f aca="false">SUM(C63:N63)</f>
        <v>86728</v>
      </c>
      <c r="P63" s="0"/>
      <c r="Q63" s="314" t="n">
        <v>0</v>
      </c>
      <c r="R63" s="314" t="n">
        <v>0</v>
      </c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294" t="s">
        <v>277</v>
      </c>
      <c r="B64" s="294"/>
      <c r="C64" s="313" t="n">
        <f aca="false">ROUND((ROUND(5*C$1*3.23,0)+(5*C$1*3.74)+(5*C$1*3.63)+(5*C$1*3.585))-(ROUND(20*C$1*C72,0)),0)</f>
        <v>-2891</v>
      </c>
      <c r="D64" s="313" t="n">
        <f aca="false">ROUND((ROUND(5*D$1*3.23,0)+(5*D$1*3.74)+(5*D$1*3.63)+(5*D$1*3.585))-(ROUND(20*D$1*D72,0)),0)</f>
        <v>-1161</v>
      </c>
      <c r="E64" s="313" t="n">
        <f aca="false">ROUND((ROUND(5*E$1*3.23,0)+(5*E$1*3.74)+(5*E$1*3.63)+(5*E$1*3.585))-(ROUND(20*E$1*E72,0)),0)</f>
        <v>-889</v>
      </c>
      <c r="F64" s="313" t="n">
        <f aca="false">ROUND((ROUND(5*F$1*3.23,0)+(5*F$1*3.74)+(5*F$1*3.63)+(5*F$1*3.585))-(ROUND(20*F$1*F72,0)),0)</f>
        <v>-794</v>
      </c>
      <c r="G64" s="313" t="n">
        <f aca="false">ROUND((ROUND(5*G$1*3.23,0)+(5*G$1*3.74)+(5*G$1*3.63)+(5*G$1*3.585))-(ROUND(20*G$1*G72,0)),0)</f>
        <v>-169</v>
      </c>
      <c r="H64" s="313" t="n">
        <f aca="false">ROUND((ROUND(5*H$1*3.23,0)+(5*H$1*3.74)+(5*H$1*3.63)+(5*H$1*3.585))-(ROUND(20*H$1*H72,0)),0)</f>
        <v>214</v>
      </c>
      <c r="I64" s="313" t="n">
        <f aca="false">ROUND((ROUND(5*I$1*3.23,0)+(5*I$1*3.74)+(5*I$1*3.63)+(5*I$1*3.585))-(ROUND(20*I$1*I72,0)),0)</f>
        <v>482</v>
      </c>
      <c r="J64" s="313" t="n">
        <f aca="false">ROUND((ROUND(5*J$1*3.23,0)+(5*J$1*3.74)+(5*J$1*3.63)+(5*J$1*3.585))-(ROUND(20*J$1*J72,0)),0)</f>
        <v>482</v>
      </c>
      <c r="K64" s="313" t="n">
        <f aca="false">ROUND((ROUND(5*K$1*3.23,0)+(5*K$1*3.74)+(5*K$1*3.63)+(5*K$1*3.585))-(ROUND(20*K$1*K72,0)),0)</f>
        <v>958</v>
      </c>
      <c r="L64" s="313" t="n">
        <f aca="false">ROUND((ROUND(5*L$1*3.23,0)+(5*L$1*3.74)+(5*L$1*3.63)+(5*L$1*3.585))-(ROUND(20*L$1*L72,0)),0)</f>
        <v>785</v>
      </c>
      <c r="M64" s="313" t="n">
        <f aca="false">ROUND((ROUND(5*M$1*3.23,0)+(5*M$1*3.74)+(5*M$1*3.63)+(5*M$1*3.585))-(ROUND(20*M$1*M72,0)),0)</f>
        <v>610</v>
      </c>
      <c r="N64" s="313" t="n">
        <f aca="false">ROUND((ROUND(5*N$1*3.23,0)+(5*N$1*3.74)+(5*N$1*3.63)+(5*N$1*3.585))-(ROUND(20*N$1*N72,0)),0)</f>
        <v>432</v>
      </c>
      <c r="O64" s="313" t="n">
        <f aca="false">SUM(C64:N64)</f>
        <v>-1941</v>
      </c>
      <c r="P64" s="0"/>
      <c r="Q64" s="314" t="n">
        <v>0</v>
      </c>
      <c r="R64" s="314" t="n">
        <v>0</v>
      </c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294" t="s">
        <v>278</v>
      </c>
      <c r="B65" s="294"/>
      <c r="C65" s="313" t="n">
        <f aca="false">ROUND(((10*C$1*0.005)+(10*C$1*0.02)),0)</f>
        <v>8</v>
      </c>
      <c r="D65" s="313" t="n">
        <f aca="false">ROUND(((10*D$1*0.005)+(10*D$1*0.02)),0)</f>
        <v>7</v>
      </c>
      <c r="E65" s="313" t="n">
        <f aca="false">ROUND(((10*E$1*0.005)+(10*E$1*0.02)),0)</f>
        <v>8</v>
      </c>
      <c r="F65" s="313" t="n">
        <f aca="false">ROUND(((10*F$1*0.005)+(10*F$1*0.02)),0)</f>
        <v>8</v>
      </c>
      <c r="G65" s="313" t="n">
        <f aca="false">ROUND(((10*G$1*0.005)+(10*G$1*0.02)),0)</f>
        <v>8</v>
      </c>
      <c r="H65" s="313" t="n">
        <f aca="false">ROUND(((10*H$1*0.005)+(10*H$1*0.02)),0)</f>
        <v>8</v>
      </c>
      <c r="I65" s="313" t="n">
        <f aca="false">ROUND(((10*I$1*0.005)+(10*I$1*0.02)),0)</f>
        <v>8</v>
      </c>
      <c r="J65" s="313" t="n">
        <f aca="false">ROUND(((10*J$1*0.005)+(10*J$1*0.02)),0)</f>
        <v>8</v>
      </c>
      <c r="K65" s="313" t="n">
        <f aca="false">ROUND(((10*K$1*0.005)+(10*K$1*0.02)),0)</f>
        <v>8</v>
      </c>
      <c r="L65" s="313" t="n">
        <f aca="false">ROUND(((10*L$1*0.005)+(10*L$1*0.02)),0)</f>
        <v>8</v>
      </c>
      <c r="M65" s="313" t="n">
        <f aca="false">ROUND(((10*M$1*0.005)+(10*M$1*0.02)),0)</f>
        <v>8</v>
      </c>
      <c r="N65" s="313" t="n">
        <f aca="false">ROUND(((10*N$1*0.005)+(10*N$1*0.02)),0)</f>
        <v>8</v>
      </c>
      <c r="O65" s="313" t="n">
        <f aca="false">SUM(C65:N65)</f>
        <v>95</v>
      </c>
      <c r="P65" s="0"/>
      <c r="Q65" s="314"/>
      <c r="R65" s="314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294" t="s">
        <v>279</v>
      </c>
      <c r="B66" s="294"/>
      <c r="C66" s="313" t="n">
        <f aca="false">ROUND((C59*C72),0)</f>
        <v>-8177</v>
      </c>
      <c r="D66" s="313" t="n">
        <f aca="false">ROUND((D59*D72),0)</f>
        <v>-5047</v>
      </c>
      <c r="E66" s="313" t="n">
        <f aca="false">ROUND((E59*E72),0)</f>
        <v>-4920</v>
      </c>
      <c r="F66" s="313" t="n">
        <f aca="false">ROUND((F59*F72),0)</f>
        <v>-5308</v>
      </c>
      <c r="G66" s="313" t="n">
        <f aca="false">ROUND((G59*G72),0)</f>
        <v>-4198</v>
      </c>
      <c r="H66" s="313" t="n">
        <f aca="false">ROUND((H59*H72),0)</f>
        <v>-3324</v>
      </c>
      <c r="I66" s="313" t="n">
        <f aca="false">ROUND((I59*I72),0)</f>
        <v>-2831</v>
      </c>
      <c r="J66" s="313" t="n">
        <f aca="false">ROUND((J59*J72),0)</f>
        <v>-2848</v>
      </c>
      <c r="K66" s="313" t="n">
        <f aca="false">ROUND((K59*K72),0)</f>
        <v>-1868</v>
      </c>
      <c r="L66" s="313" t="n">
        <f aca="false">ROUND((L59*L72),0)</f>
        <v>-2061</v>
      </c>
      <c r="M66" s="313" t="n">
        <f aca="false">ROUND((M59*M72),0)</f>
        <v>-2335</v>
      </c>
      <c r="N66" s="313" t="n">
        <f aca="false">ROUND((N59*N72),0)</f>
        <v>-3004</v>
      </c>
      <c r="O66" s="313" t="n">
        <f aca="false">SUM(C66:N66)</f>
        <v>-45921</v>
      </c>
      <c r="P66" s="0"/>
      <c r="Q66" s="314" t="n">
        <v>0</v>
      </c>
      <c r="R66" s="314" t="n">
        <v>0</v>
      </c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315" t="s">
        <v>280</v>
      </c>
      <c r="B67" s="294"/>
      <c r="C67" s="316" t="n">
        <f aca="false">(C75-C72)*(C60+C61)</f>
        <v>-0</v>
      </c>
      <c r="D67" s="316" t="n">
        <f aca="false">(D75-D72)*(D60+D61)</f>
        <v>-0</v>
      </c>
      <c r="E67" s="316" t="n">
        <f aca="false">(E75-E72)*(E60+E61)</f>
        <v>-0</v>
      </c>
      <c r="F67" s="316" t="n">
        <f aca="false">(F75-F72)*(F60+F61)</f>
        <v>-0</v>
      </c>
      <c r="G67" s="316" t="n">
        <f aca="false">(G75-G72)*(G60+G61)</f>
        <v>-0</v>
      </c>
      <c r="H67" s="316" t="n">
        <f aca="false">(H75-H72)*(H60+H61)</f>
        <v>-0</v>
      </c>
      <c r="I67" s="316" t="n">
        <f aca="false">(I75-I72)*(I60+I61)</f>
        <v>-0</v>
      </c>
      <c r="J67" s="316" t="n">
        <f aca="false">(J75-J72)*(J60+J61)</f>
        <v>-0</v>
      </c>
      <c r="K67" s="316" t="n">
        <f aca="false">(K75-K72)*(K60+K61)</f>
        <v>-0</v>
      </c>
      <c r="L67" s="316" t="n">
        <f aca="false">(L75-L72)*(L60+L61)</f>
        <v>-0</v>
      </c>
      <c r="M67" s="316" t="n">
        <f aca="false">(M75-M72)*(M60+M61)</f>
        <v>-0</v>
      </c>
      <c r="N67" s="316" t="n">
        <f aca="false">(N75-N72)*(N60+N61)</f>
        <v>-0</v>
      </c>
      <c r="O67" s="316" t="n">
        <f aca="false">SUM(C67:N67)</f>
        <v>0</v>
      </c>
      <c r="P67" s="0"/>
      <c r="Q67" s="314" t="n">
        <v>0</v>
      </c>
      <c r="R67" s="314" t="n">
        <v>0</v>
      </c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315" t="s">
        <v>281</v>
      </c>
      <c r="B68" s="294"/>
      <c r="C68" s="316" t="n">
        <f aca="false">C60*C72</f>
        <v>-188.208719744</v>
      </c>
      <c r="D68" s="316" t="n">
        <f aca="false">D60*D72</f>
        <v>-116.0718832</v>
      </c>
      <c r="E68" s="316" t="n">
        <f aca="false">E60*E72</f>
        <v>-113.1728904</v>
      </c>
      <c r="F68" s="316" t="n">
        <f aca="false">F60*F72</f>
        <v>-121.777272</v>
      </c>
      <c r="G68" s="316" t="n">
        <f aca="false">G60*G72</f>
        <v>-96.2849336</v>
      </c>
      <c r="H68" s="316" t="n">
        <f aca="false">H60*H72</f>
        <v>-76.288212</v>
      </c>
      <c r="I68" s="316" t="n">
        <f aca="false">I60*I72</f>
        <v>-65.106634</v>
      </c>
      <c r="J68" s="316" t="n">
        <f aca="false">J60*J72</f>
        <v>-65.5153752</v>
      </c>
      <c r="K68" s="316" t="n">
        <f aca="false">K60*K72</f>
        <v>-43.0326</v>
      </c>
      <c r="L68" s="316" t="n">
        <f aca="false">L60*L72</f>
        <v>-47.425177392</v>
      </c>
      <c r="M68" s="316" t="n">
        <f aca="false">M60*M72</f>
        <v>-53.66120892</v>
      </c>
      <c r="N68" s="316" t="n">
        <f aca="false">N60*N72</f>
        <v>-68.85903582</v>
      </c>
      <c r="O68" s="316" t="n">
        <f aca="false">SUM(C68:N68)</f>
        <v>-1055.403942276</v>
      </c>
      <c r="P68" s="0"/>
      <c r="Q68" s="314" t="n">
        <v>0</v>
      </c>
      <c r="R68" s="314" t="n">
        <v>0</v>
      </c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315" t="s">
        <v>282</v>
      </c>
      <c r="B69" s="294"/>
      <c r="C69" s="316" t="n">
        <f aca="false">C61*C72</f>
        <v>-94.104359872</v>
      </c>
      <c r="D69" s="316" t="n">
        <f aca="false">D61*D72</f>
        <v>-58.0359416</v>
      </c>
      <c r="E69" s="316" t="n">
        <f aca="false">E61*E72</f>
        <v>-56.5864452</v>
      </c>
      <c r="F69" s="316" t="n">
        <f aca="false">F61*F72</f>
        <v>-60.888636</v>
      </c>
      <c r="G69" s="316" t="n">
        <f aca="false">G61*G72</f>
        <v>-48.1424668</v>
      </c>
      <c r="H69" s="316" t="n">
        <f aca="false">H61*H72</f>
        <v>-38.144106</v>
      </c>
      <c r="I69" s="316" t="n">
        <f aca="false">I61*I72</f>
        <v>-32.553317</v>
      </c>
      <c r="J69" s="316" t="n">
        <f aca="false">J61*J72</f>
        <v>-32.7576876</v>
      </c>
      <c r="K69" s="316" t="n">
        <f aca="false">K61*K72</f>
        <v>-21.5163</v>
      </c>
      <c r="L69" s="316" t="n">
        <f aca="false">L61*L72</f>
        <v>-23.712588696</v>
      </c>
      <c r="M69" s="316" t="n">
        <f aca="false">M61*M72</f>
        <v>-26.83060446</v>
      </c>
      <c r="N69" s="316" t="n">
        <f aca="false">N61*N72</f>
        <v>-34.42951791</v>
      </c>
      <c r="O69" s="316" t="n">
        <f aca="false">SUM(C69:N69)</f>
        <v>-527.701971138</v>
      </c>
      <c r="P69" s="0"/>
      <c r="Q69" s="314" t="n">
        <v>0</v>
      </c>
      <c r="R69" s="314" t="n">
        <v>0</v>
      </c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294" t="s">
        <v>283</v>
      </c>
      <c r="B70" s="294"/>
      <c r="C70" s="317" t="n">
        <f aca="false">SUM(C63:C69)</f>
        <v>4665.686920384</v>
      </c>
      <c r="D70" s="317" t="n">
        <f aca="false">SUM(D63:D69)</f>
        <v>3562.8921752</v>
      </c>
      <c r="E70" s="317" t="n">
        <f aca="false">SUM(E63:E69)</f>
        <v>3724.2406644</v>
      </c>
      <c r="F70" s="317" t="n">
        <f aca="false">SUM(F63:F69)</f>
        <v>3154.334092</v>
      </c>
      <c r="G70" s="317" t="n">
        <f aca="false">SUM(G63:G69)</f>
        <v>2933.5725996</v>
      </c>
      <c r="H70" s="317" t="n">
        <f aca="false">SUM(H63:H69)</f>
        <v>2764.567682</v>
      </c>
      <c r="I70" s="317" t="n">
        <f aca="false">SUM(I63:I69)</f>
        <v>3031.340049</v>
      </c>
      <c r="J70" s="317" t="n">
        <f aca="false">SUM(J63:J69)</f>
        <v>3064.7269372</v>
      </c>
      <c r="K70" s="317" t="n">
        <f aca="false">SUM(K63:K69)</f>
        <v>2490.4511</v>
      </c>
      <c r="L70" s="317" t="n">
        <f aca="false">SUM(L63:L69)</f>
        <v>2746.862233912</v>
      </c>
      <c r="M70" s="317" t="n">
        <f aca="false">SUM(M63:M69)</f>
        <v>2663.50818662</v>
      </c>
      <c r="N70" s="317" t="n">
        <f aca="false">SUM(N63:N69)</f>
        <v>2575.71144627</v>
      </c>
      <c r="O70" s="317" t="n">
        <f aca="false">SUM(C70:N70)</f>
        <v>37377.894086586</v>
      </c>
      <c r="P70" s="0"/>
      <c r="Q70" s="318" t="n">
        <f aca="false">SUM(Q63:Q69)</f>
        <v>0</v>
      </c>
      <c r="R70" s="318" t="n">
        <f aca="false">SUM(R63:R69)</f>
        <v>0</v>
      </c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294"/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319" t="s">
        <v>284</v>
      </c>
      <c r="B72" s="294"/>
      <c r="C72" s="319" t="n">
        <f aca="false">Forecast01!B381</f>
        <v>8.21</v>
      </c>
      <c r="D72" s="319" t="n">
        <f aca="false">Forecast01!C381</f>
        <v>5.62</v>
      </c>
      <c r="E72" s="319" t="n">
        <f aca="false">Forecast01!D381</f>
        <v>4.98</v>
      </c>
      <c r="F72" s="319" t="n">
        <f aca="false">Forecast01!E381</f>
        <v>4.87</v>
      </c>
      <c r="G72" s="319" t="n">
        <f aca="false">Forecast01!F381</f>
        <v>3.82</v>
      </c>
      <c r="H72" s="319" t="n">
        <f aca="false">Forecast01!G381</f>
        <v>3.19</v>
      </c>
      <c r="I72" s="319" t="n">
        <f aca="false">Forecast01!H381</f>
        <v>2.77</v>
      </c>
      <c r="J72" s="319" t="n">
        <f aca="false">Forecast01!I381</f>
        <v>2.77</v>
      </c>
      <c r="K72" s="319" t="n">
        <f aca="false">Forecast01!J381</f>
        <v>1.95</v>
      </c>
      <c r="L72" s="319" t="n">
        <f aca="false">Forecast01!K381</f>
        <v>2.28</v>
      </c>
      <c r="M72" s="319" t="n">
        <f aca="false">Forecast01!L381</f>
        <v>2.53</v>
      </c>
      <c r="N72" s="319" t="n">
        <f aca="false">Forecast01!M381</f>
        <v>2.85</v>
      </c>
      <c r="O72" s="319" t="n">
        <f aca="false">AVERAGE(C72:N72)</f>
        <v>3.82</v>
      </c>
      <c r="P72" s="0"/>
      <c r="Q72" s="320" t="n">
        <v>2.37</v>
      </c>
      <c r="R72" s="320" t="n">
        <v>2.37</v>
      </c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321" t="s">
        <v>285</v>
      </c>
      <c r="B73" s="294"/>
      <c r="C73" s="321" t="n">
        <v>0.0004</v>
      </c>
      <c r="D73" s="321" t="n">
        <v>0.0004</v>
      </c>
      <c r="E73" s="321" t="n">
        <v>0.0004</v>
      </c>
      <c r="F73" s="321" t="n">
        <v>0.0004</v>
      </c>
      <c r="G73" s="321" t="n">
        <v>0.0004</v>
      </c>
      <c r="H73" s="321" t="n">
        <v>0.0004</v>
      </c>
      <c r="I73" s="321" t="n">
        <v>0.0004</v>
      </c>
      <c r="J73" s="321" t="n">
        <v>0.0004</v>
      </c>
      <c r="K73" s="321" t="n">
        <v>0.0004</v>
      </c>
      <c r="L73" s="321" t="n">
        <v>0.0004</v>
      </c>
      <c r="M73" s="321" t="n">
        <v>0.0004</v>
      </c>
      <c r="N73" s="321" t="n">
        <v>0.0004</v>
      </c>
      <c r="O73" s="321" t="n">
        <v>0.0006</v>
      </c>
      <c r="P73" s="0"/>
      <c r="Q73" s="322" t="n">
        <v>0.002</v>
      </c>
      <c r="R73" s="322" t="n">
        <v>0.002</v>
      </c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321" t="s">
        <v>286</v>
      </c>
      <c r="B74" s="294"/>
      <c r="C74" s="321" t="n">
        <v>0.0002</v>
      </c>
      <c r="D74" s="321" t="n">
        <v>0.0002</v>
      </c>
      <c r="E74" s="321" t="n">
        <v>0.0002</v>
      </c>
      <c r="F74" s="321" t="n">
        <v>0.0002</v>
      </c>
      <c r="G74" s="321" t="n">
        <v>0.0002</v>
      </c>
      <c r="H74" s="321" t="n">
        <v>0.0002</v>
      </c>
      <c r="I74" s="321" t="n">
        <v>0.0002</v>
      </c>
      <c r="J74" s="321" t="n">
        <v>0.0002</v>
      </c>
      <c r="K74" s="321" t="n">
        <v>0.0002</v>
      </c>
      <c r="L74" s="321" t="n">
        <v>0.0002</v>
      </c>
      <c r="M74" s="321" t="n">
        <v>0.0002</v>
      </c>
      <c r="N74" s="321" t="n">
        <v>0.0002</v>
      </c>
      <c r="O74" s="321"/>
      <c r="P74" s="0"/>
      <c r="Q74" s="322"/>
      <c r="R74" s="322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321" t="s">
        <v>287</v>
      </c>
      <c r="B75" s="294"/>
      <c r="C75" s="319" t="n">
        <f aca="false">C72</f>
        <v>8.21</v>
      </c>
      <c r="D75" s="319" t="n">
        <f aca="false">D72</f>
        <v>5.62</v>
      </c>
      <c r="E75" s="319" t="n">
        <f aca="false">E72</f>
        <v>4.98</v>
      </c>
      <c r="F75" s="319" t="n">
        <f aca="false">F72</f>
        <v>4.87</v>
      </c>
      <c r="G75" s="319" t="n">
        <f aca="false">G72</f>
        <v>3.82</v>
      </c>
      <c r="H75" s="319" t="n">
        <f aca="false">H72</f>
        <v>3.19</v>
      </c>
      <c r="I75" s="319" t="n">
        <f aca="false">I72</f>
        <v>2.77</v>
      </c>
      <c r="J75" s="319" t="n">
        <f aca="false">J72</f>
        <v>2.77</v>
      </c>
      <c r="K75" s="319" t="n">
        <f aca="false">K72</f>
        <v>1.95</v>
      </c>
      <c r="L75" s="319" t="n">
        <f aca="false">L72</f>
        <v>2.28</v>
      </c>
      <c r="M75" s="319" t="n">
        <f aca="false">M72</f>
        <v>2.53</v>
      </c>
      <c r="N75" s="319" t="n">
        <f aca="false">N72</f>
        <v>2.85</v>
      </c>
      <c r="O75" s="319" t="n">
        <f aca="false">AVERAGE(C75:N75)</f>
        <v>3.82</v>
      </c>
      <c r="P75" s="0"/>
      <c r="Q75" s="322"/>
      <c r="R75" s="322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321" t="s">
        <v>288</v>
      </c>
      <c r="B76" s="294"/>
      <c r="C76" s="321" t="n">
        <v>0.018</v>
      </c>
      <c r="D76" s="321" t="n">
        <v>0.018</v>
      </c>
      <c r="E76" s="321" t="n">
        <v>0.018</v>
      </c>
      <c r="F76" s="321" t="n">
        <v>0.018</v>
      </c>
      <c r="G76" s="321" t="n">
        <v>0.018</v>
      </c>
      <c r="H76" s="321" t="n">
        <v>0.018</v>
      </c>
      <c r="I76" s="321" t="n">
        <v>0.018</v>
      </c>
      <c r="J76" s="321" t="n">
        <v>0.018</v>
      </c>
      <c r="K76" s="321" t="n">
        <v>0.018</v>
      </c>
      <c r="L76" s="321" t="n">
        <v>0.018</v>
      </c>
      <c r="M76" s="321" t="n">
        <v>0.018</v>
      </c>
      <c r="N76" s="321" t="n">
        <v>0.018</v>
      </c>
      <c r="O76" s="321" t="n">
        <f aca="false">AVERAGE(C76:N76)</f>
        <v>0.018</v>
      </c>
      <c r="P76" s="0"/>
      <c r="Q76" s="322" t="n">
        <f aca="false">AVERAGE(D76:O76)</f>
        <v>0.018</v>
      </c>
      <c r="R76" s="322" t="n">
        <f aca="false">AVERAGE(E76:P76)</f>
        <v>0.018</v>
      </c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294"/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296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294" t="s">
        <v>289</v>
      </c>
      <c r="B79" s="294"/>
      <c r="C79" s="313" t="n">
        <f aca="false">ROUND(((5*C$1*3.23)+(5*C$1*3.74)+(5*C$1*3.63)+(5*C$1*3.585)),0)</f>
        <v>2199</v>
      </c>
      <c r="D79" s="313" t="n">
        <f aca="false">ROUND(((5*D$1*3.23)+(5*D$1*3.74)+(5*D$1*3.63)+(5*D$1*3.585)),0)</f>
        <v>1986</v>
      </c>
      <c r="E79" s="313" t="n">
        <f aca="false">ROUND(((5*E$1*3.23)+(5*E$1*3.74)+(5*E$1*3.63)+(5*E$1*3.585)),0)</f>
        <v>2199</v>
      </c>
      <c r="F79" s="313" t="n">
        <f aca="false">ROUND(((5*F$1*3.23)+(5*F$1*3.74)+(5*F$1*3.63)+(5*F$1*3.585)),0)</f>
        <v>2128</v>
      </c>
      <c r="G79" s="313" t="n">
        <f aca="false">ROUND(((5*G$1*3.23)+(5*G$1*3.74)+(5*G$1*3.63)+(5*G$1*3.585)),0)</f>
        <v>2199</v>
      </c>
      <c r="H79" s="313" t="n">
        <f aca="false">ROUND(((5*H$1*3.23)+(5*H$1*3.74)+(5*H$1*3.63)+(5*H$1*3.585)),0)</f>
        <v>2128</v>
      </c>
      <c r="I79" s="313" t="n">
        <f aca="false">ROUND(((5*I$1*3.23)+(5*I$1*3.74)+(5*I$1*3.63)+(5*I$1*3.585)),0)</f>
        <v>2199</v>
      </c>
      <c r="J79" s="313" t="n">
        <f aca="false">ROUND(((5*J$1*3.23)+(5*J$1*3.74)+(5*J$1*3.63)+(5*J$1*3.585)),0)</f>
        <v>2199</v>
      </c>
      <c r="K79" s="313" t="n">
        <f aca="false">ROUND(((5*K$1*3.23)+(5*K$1*3.74)+(5*K$1*3.63)+(5*K$1*3.585)),0)</f>
        <v>2128</v>
      </c>
      <c r="L79" s="313" t="n">
        <f aca="false">ROUND(((5*L$1*3.23)+(5*L$1*3.74)+(5*L$1*3.63)+(5*L$1*3.585)),0)</f>
        <v>2199</v>
      </c>
      <c r="M79" s="313" t="n">
        <f aca="false">ROUND(((5*M$1*3.23)+(5*M$1*3.74)+(5*M$1*3.63)+(5*M$1*3.585)),0)</f>
        <v>2128</v>
      </c>
      <c r="N79" s="313" t="n">
        <f aca="false">ROUND(((5*N$1*3.23)+(5*N$1*3.74)+(5*N$1*3.63)+(5*N$1*3.585)),0)</f>
        <v>2199</v>
      </c>
      <c r="O79" s="313" t="n">
        <f aca="false">SUM(C79:N79)</f>
        <v>25891</v>
      </c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294" t="s">
        <v>278</v>
      </c>
      <c r="B80" s="294"/>
      <c r="C80" s="313" t="n">
        <f aca="false">ROUND(((10*C$1*0.005)+(10*C$1*0.02)),0)</f>
        <v>8</v>
      </c>
      <c r="D80" s="313" t="n">
        <f aca="false">ROUND(((10*D$1*0.005)+(10*D$1*0.02)),0)</f>
        <v>7</v>
      </c>
      <c r="E80" s="313" t="n">
        <f aca="false">ROUND(((10*E$1*0.005)+(10*E$1*0.02)),0)</f>
        <v>8</v>
      </c>
      <c r="F80" s="313" t="n">
        <f aca="false">ROUND(((10*F$1*0.005)+(10*F$1*0.02)),0)</f>
        <v>8</v>
      </c>
      <c r="G80" s="313" t="n">
        <f aca="false">ROUND(((10*G$1*0.005)+(10*G$1*0.02)),0)</f>
        <v>8</v>
      </c>
      <c r="H80" s="313" t="n">
        <f aca="false">ROUND(((10*H$1*0.005)+(10*H$1*0.02)),0)</f>
        <v>8</v>
      </c>
      <c r="I80" s="313" t="n">
        <f aca="false">ROUND(((10*I$1*0.005)+(10*I$1*0.02)),0)</f>
        <v>8</v>
      </c>
      <c r="J80" s="313" t="n">
        <f aca="false">ROUND(((10*J$1*0.005)+(10*J$1*0.02)),0)</f>
        <v>8</v>
      </c>
      <c r="K80" s="313" t="n">
        <f aca="false">ROUND(((10*K$1*0.005)+(10*K$1*0.02)),0)</f>
        <v>8</v>
      </c>
      <c r="L80" s="313" t="n">
        <f aca="false">ROUND(((10*L$1*0.005)+(10*L$1*0.02)),0)</f>
        <v>8</v>
      </c>
      <c r="M80" s="313" t="n">
        <f aca="false">ROUND(((10*M$1*0.005)+(10*M$1*0.02)),0)</f>
        <v>8</v>
      </c>
      <c r="N80" s="313" t="n">
        <f aca="false">ROUND(((10*N$1*0.005)+(10*N$1*0.02)),0)</f>
        <v>8</v>
      </c>
      <c r="O80" s="313" t="n">
        <f aca="false">SUM(C80:N80)</f>
        <v>95</v>
      </c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323" t="s">
        <v>290</v>
      </c>
      <c r="B81" s="323"/>
      <c r="C81" s="324" t="n">
        <f aca="false">C70-C79-C67-C68-C69-C80</f>
        <v>2741</v>
      </c>
      <c r="D81" s="324" t="n">
        <f aca="false">D70-D79-D67-D68-D69-D80</f>
        <v>1744</v>
      </c>
      <c r="E81" s="324" t="n">
        <f aca="false">E70-E79-E67-E68-E69-E80</f>
        <v>1687</v>
      </c>
      <c r="F81" s="324" t="n">
        <f aca="false">F70-F79-F67-F68-F69-F80</f>
        <v>1201</v>
      </c>
      <c r="G81" s="324" t="n">
        <f aca="false">G70-G79-G67-G68-G69-G80</f>
        <v>871</v>
      </c>
      <c r="H81" s="324" t="n">
        <f aca="false">H70-H79-H67-H68-H69-H80</f>
        <v>743</v>
      </c>
      <c r="I81" s="324" t="n">
        <f aca="false">I70-I79-I67-I68-I69-I80</f>
        <v>922</v>
      </c>
      <c r="J81" s="324" t="n">
        <f aca="false">J70-J79-J67-J68-J69-J80</f>
        <v>956</v>
      </c>
      <c r="K81" s="324" t="n">
        <f aca="false">K70-K79-K67-K68-K69-K80</f>
        <v>419</v>
      </c>
      <c r="L81" s="324" t="n">
        <f aca="false">L70-L79-L67-L68-L69-L80</f>
        <v>611</v>
      </c>
      <c r="M81" s="324" t="n">
        <f aca="false">M70-M79-M67-M68-M69-M80</f>
        <v>608</v>
      </c>
      <c r="N81" s="324" t="n">
        <f aca="false">N70-N79-N67-N68-N69-N80</f>
        <v>472</v>
      </c>
      <c r="O81" s="324" t="n">
        <f aca="false">SUM(C81:N81)</f>
        <v>12975</v>
      </c>
      <c r="P81" s="325"/>
      <c r="Q81" s="325"/>
      <c r="R81" s="325"/>
      <c r="S81" s="325"/>
      <c r="T81" s="325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  <c r="BH81" s="325"/>
      <c r="BI81" s="325"/>
      <c r="BJ81" s="325"/>
      <c r="BK81" s="325"/>
      <c r="BL81" s="325"/>
      <c r="BM81" s="325"/>
      <c r="BN81" s="325"/>
      <c r="BO81" s="325"/>
      <c r="BP81" s="325"/>
      <c r="BQ81" s="325"/>
      <c r="BR81" s="325"/>
      <c r="BS81" s="325"/>
      <c r="BT81" s="325"/>
      <c r="BU81" s="325"/>
      <c r="BV81" s="325"/>
      <c r="BW81" s="325"/>
      <c r="BX81" s="325"/>
      <c r="BY81" s="325"/>
      <c r="BZ81" s="325"/>
      <c r="CA81" s="325"/>
      <c r="CB81" s="325"/>
      <c r="CC81" s="325"/>
      <c r="CD81" s="325"/>
      <c r="CE81" s="325"/>
      <c r="CF81" s="325"/>
      <c r="CG81" s="325"/>
      <c r="CH81" s="325"/>
      <c r="CI81" s="325"/>
      <c r="CJ81" s="325"/>
      <c r="CK81" s="325"/>
      <c r="CL81" s="325"/>
      <c r="CM81" s="325"/>
      <c r="CN81" s="325"/>
      <c r="CO81" s="325"/>
      <c r="CP81" s="325"/>
      <c r="CQ81" s="325"/>
      <c r="CR81" s="325"/>
      <c r="CS81" s="325"/>
      <c r="CT81" s="325"/>
      <c r="CU81" s="325"/>
      <c r="CV81" s="325"/>
      <c r="CW81" s="325"/>
      <c r="CX81" s="325"/>
      <c r="CY81" s="325"/>
      <c r="CZ81" s="325"/>
      <c r="DA81" s="325"/>
      <c r="DB81" s="325"/>
      <c r="DC81" s="325"/>
      <c r="DD81" s="325"/>
      <c r="DE81" s="325"/>
      <c r="DF81" s="325"/>
      <c r="DG81" s="325"/>
      <c r="DH81" s="325"/>
      <c r="DI81" s="325"/>
      <c r="DJ81" s="325"/>
      <c r="DK81" s="325"/>
      <c r="DL81" s="325"/>
      <c r="DM81" s="325"/>
      <c r="DN81" s="325"/>
      <c r="DO81" s="325"/>
      <c r="DP81" s="325"/>
      <c r="DQ81" s="325"/>
      <c r="DR81" s="325"/>
      <c r="DS81" s="325"/>
      <c r="DT81" s="325"/>
      <c r="DU81" s="325"/>
      <c r="DV81" s="325"/>
      <c r="DW81" s="325"/>
      <c r="DX81" s="325"/>
      <c r="DY81" s="325"/>
      <c r="DZ81" s="325"/>
      <c r="EA81" s="325"/>
      <c r="EB81" s="325"/>
      <c r="EC81" s="325"/>
      <c r="ED81" s="325"/>
      <c r="EE81" s="325"/>
      <c r="EF81" s="325"/>
      <c r="EG81" s="325"/>
      <c r="EH81" s="325"/>
      <c r="EI81" s="325"/>
      <c r="EJ81" s="325"/>
      <c r="EK81" s="325"/>
      <c r="EL81" s="325"/>
      <c r="EM81" s="325"/>
      <c r="EN81" s="325"/>
      <c r="EO81" s="325"/>
      <c r="EP81" s="325"/>
      <c r="EQ81" s="325"/>
      <c r="ER81" s="325"/>
      <c r="ES81" s="325"/>
      <c r="ET81" s="325"/>
      <c r="EU81" s="325"/>
      <c r="EV81" s="325"/>
      <c r="EW81" s="325"/>
      <c r="EX81" s="325"/>
      <c r="EY81" s="325"/>
      <c r="EZ81" s="325"/>
      <c r="FA81" s="325"/>
      <c r="FB81" s="325"/>
      <c r="FC81" s="325"/>
      <c r="FD81" s="325"/>
      <c r="FE81" s="325"/>
      <c r="FF81" s="325"/>
      <c r="FG81" s="325"/>
      <c r="FH81" s="325"/>
      <c r="FI81" s="325"/>
      <c r="FJ81" s="325"/>
      <c r="FK81" s="325"/>
      <c r="FL81" s="325"/>
      <c r="FM81" s="325"/>
      <c r="FN81" s="325"/>
      <c r="FO81" s="325"/>
      <c r="FP81" s="325"/>
      <c r="FQ81" s="325"/>
      <c r="FR81" s="325"/>
      <c r="FS81" s="325"/>
      <c r="FT81" s="325"/>
      <c r="FU81" s="325"/>
      <c r="FV81" s="325"/>
      <c r="FW81" s="325"/>
      <c r="FX81" s="325"/>
      <c r="FY81" s="325"/>
      <c r="FZ81" s="325"/>
      <c r="GA81" s="325"/>
      <c r="GB81" s="325"/>
      <c r="GC81" s="325"/>
      <c r="GD81" s="325"/>
      <c r="GE81" s="325"/>
      <c r="GF81" s="325"/>
      <c r="GG81" s="325"/>
      <c r="GH81" s="325"/>
      <c r="GI81" s="325"/>
      <c r="GJ81" s="325"/>
      <c r="GK81" s="325"/>
      <c r="GL81" s="325"/>
      <c r="GM81" s="325"/>
      <c r="GN81" s="325"/>
      <c r="GO81" s="325"/>
      <c r="GP81" s="325"/>
      <c r="GQ81" s="325"/>
      <c r="GR81" s="325"/>
      <c r="GS81" s="325"/>
      <c r="GT81" s="325"/>
      <c r="GU81" s="325"/>
      <c r="GV81" s="325"/>
      <c r="GW81" s="325"/>
      <c r="GX81" s="325"/>
      <c r="GY81" s="325"/>
      <c r="GZ81" s="325"/>
      <c r="HA81" s="325"/>
      <c r="HB81" s="325"/>
      <c r="HC81" s="325"/>
      <c r="HD81" s="325"/>
      <c r="HE81" s="325"/>
      <c r="HF81" s="325"/>
      <c r="HG81" s="325"/>
      <c r="HH81" s="325"/>
      <c r="HI81" s="325"/>
      <c r="HJ81" s="325"/>
      <c r="HK81" s="325"/>
      <c r="HL81" s="325"/>
      <c r="HM81" s="325"/>
      <c r="HN81" s="325"/>
      <c r="HO81" s="325"/>
      <c r="HP81" s="325"/>
      <c r="HQ81" s="325"/>
      <c r="HR81" s="325"/>
      <c r="HS81" s="325"/>
      <c r="HT81" s="325"/>
      <c r="HU81" s="325"/>
      <c r="HV81" s="325"/>
      <c r="HW81" s="325"/>
      <c r="HX81" s="325"/>
      <c r="HY81" s="325"/>
      <c r="HZ81" s="325"/>
      <c r="IA81" s="325"/>
      <c r="IB81" s="325"/>
      <c r="IC81" s="325"/>
      <c r="ID81" s="325"/>
      <c r="IE81" s="325"/>
      <c r="IF81" s="325"/>
      <c r="IG81" s="325"/>
      <c r="IH81" s="325"/>
      <c r="II81" s="325"/>
      <c r="IJ81" s="325"/>
      <c r="IK81" s="325"/>
      <c r="IL81" s="325"/>
      <c r="IM81" s="325"/>
      <c r="IN81" s="325"/>
      <c r="IO81" s="325"/>
      <c r="IP81" s="325"/>
      <c r="IQ81" s="325"/>
      <c r="IR81" s="325"/>
      <c r="IS81" s="325"/>
      <c r="IT81" s="325"/>
      <c r="IU81" s="325"/>
      <c r="IV81" s="325"/>
      <c r="IW81" s="325"/>
    </row>
    <row r="82" customFormat="false" ht="12.75" hidden="false" customHeight="false" outlineLevel="0" collapsed="false">
      <c r="A82" s="315" t="s">
        <v>291</v>
      </c>
      <c r="B82" s="315"/>
      <c r="C82" s="326" t="n">
        <f aca="false">SUM(C67:C69)</f>
        <v>-282.313079616</v>
      </c>
      <c r="D82" s="326" t="n">
        <f aca="false">SUM(D67:D69)</f>
        <v>-174.1078248</v>
      </c>
      <c r="E82" s="326" t="n">
        <f aca="false">SUM(E67:E69)</f>
        <v>-169.7593356</v>
      </c>
      <c r="F82" s="326" t="n">
        <f aca="false">SUM(F67:F69)</f>
        <v>-182.665908</v>
      </c>
      <c r="G82" s="326" t="n">
        <f aca="false">SUM(G67:G69)</f>
        <v>-144.4274004</v>
      </c>
      <c r="H82" s="326" t="n">
        <f aca="false">SUM(H67:H69)</f>
        <v>-114.432318</v>
      </c>
      <c r="I82" s="326" t="n">
        <f aca="false">SUM(I67:I69)</f>
        <v>-97.659951</v>
      </c>
      <c r="J82" s="326" t="n">
        <f aca="false">SUM(J67:J69)</f>
        <v>-98.2730628</v>
      </c>
      <c r="K82" s="326" t="n">
        <f aca="false">SUM(K67:K69)</f>
        <v>-64.5489</v>
      </c>
      <c r="L82" s="326" t="n">
        <f aca="false">SUM(L67:L69)</f>
        <v>-71.137766088</v>
      </c>
      <c r="M82" s="326" t="n">
        <f aca="false">SUM(M67:M69)</f>
        <v>-80.49181338</v>
      </c>
      <c r="N82" s="326" t="n">
        <f aca="false">SUM(N67:N69)</f>
        <v>-103.28855373</v>
      </c>
      <c r="O82" s="326" t="n">
        <f aca="false">SUM(C82:N82)</f>
        <v>-1583.105913414</v>
      </c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5"/>
      <c r="BF82" s="315"/>
      <c r="BG82" s="315"/>
      <c r="BH82" s="315"/>
      <c r="BI82" s="315"/>
      <c r="BJ82" s="315"/>
      <c r="BK82" s="315"/>
      <c r="BL82" s="315"/>
      <c r="BM82" s="315"/>
      <c r="BN82" s="315"/>
      <c r="BO82" s="315"/>
      <c r="BP82" s="315"/>
      <c r="BQ82" s="315"/>
      <c r="BR82" s="315"/>
      <c r="BS82" s="315"/>
      <c r="BT82" s="315"/>
      <c r="BU82" s="315"/>
      <c r="BV82" s="315"/>
      <c r="BW82" s="315"/>
      <c r="BX82" s="315"/>
      <c r="BY82" s="315"/>
      <c r="BZ82" s="315"/>
      <c r="CA82" s="315"/>
      <c r="CB82" s="315"/>
      <c r="CC82" s="315"/>
      <c r="CD82" s="315"/>
      <c r="CE82" s="315"/>
      <c r="CF82" s="315"/>
      <c r="CG82" s="315"/>
      <c r="CH82" s="315"/>
      <c r="CI82" s="315"/>
      <c r="CJ82" s="315"/>
      <c r="CK82" s="315"/>
      <c r="CL82" s="315"/>
      <c r="CM82" s="315"/>
      <c r="CN82" s="315"/>
      <c r="CO82" s="315"/>
      <c r="CP82" s="315"/>
      <c r="CQ82" s="315"/>
      <c r="CR82" s="315"/>
      <c r="CS82" s="315"/>
      <c r="CT82" s="315"/>
      <c r="CU82" s="315"/>
      <c r="CV82" s="315"/>
      <c r="CW82" s="315"/>
      <c r="CX82" s="315"/>
      <c r="CY82" s="315"/>
      <c r="CZ82" s="315"/>
      <c r="DA82" s="315"/>
      <c r="DB82" s="315"/>
      <c r="DC82" s="315"/>
      <c r="DD82" s="315"/>
      <c r="DE82" s="315"/>
      <c r="DF82" s="315"/>
      <c r="DG82" s="315"/>
      <c r="DH82" s="315"/>
      <c r="DI82" s="315"/>
      <c r="DJ82" s="315"/>
      <c r="DK82" s="315"/>
      <c r="DL82" s="315"/>
      <c r="DM82" s="315"/>
      <c r="DN82" s="315"/>
      <c r="DO82" s="315"/>
      <c r="DP82" s="315"/>
      <c r="DQ82" s="315"/>
      <c r="DR82" s="315"/>
      <c r="DS82" s="315"/>
      <c r="DT82" s="315"/>
      <c r="DU82" s="315"/>
      <c r="DV82" s="315"/>
      <c r="DW82" s="315"/>
      <c r="DX82" s="315"/>
      <c r="DY82" s="315"/>
      <c r="DZ82" s="315"/>
      <c r="EA82" s="315"/>
      <c r="EB82" s="315"/>
      <c r="EC82" s="315"/>
      <c r="ED82" s="315"/>
      <c r="EE82" s="315"/>
      <c r="EF82" s="315"/>
      <c r="EG82" s="315"/>
      <c r="EH82" s="315"/>
      <c r="EI82" s="315"/>
      <c r="EJ82" s="315"/>
      <c r="EK82" s="315"/>
      <c r="EL82" s="315"/>
      <c r="EM82" s="315"/>
      <c r="EN82" s="315"/>
      <c r="EO82" s="315"/>
      <c r="EP82" s="315"/>
      <c r="EQ82" s="315"/>
      <c r="ER82" s="315"/>
      <c r="ES82" s="315"/>
      <c r="ET82" s="315"/>
      <c r="EU82" s="315"/>
      <c r="EV82" s="315"/>
      <c r="EW82" s="315"/>
      <c r="EX82" s="315"/>
      <c r="EY82" s="315"/>
      <c r="EZ82" s="315"/>
      <c r="FA82" s="315"/>
      <c r="FB82" s="315"/>
      <c r="FC82" s="315"/>
      <c r="FD82" s="315"/>
      <c r="FE82" s="315"/>
      <c r="FF82" s="315"/>
      <c r="FG82" s="315"/>
      <c r="FH82" s="315"/>
      <c r="FI82" s="315"/>
      <c r="FJ82" s="315"/>
      <c r="FK82" s="315"/>
      <c r="FL82" s="315"/>
      <c r="FM82" s="315"/>
      <c r="FN82" s="315"/>
      <c r="FO82" s="315"/>
      <c r="FP82" s="315"/>
      <c r="FQ82" s="315"/>
      <c r="FR82" s="315"/>
      <c r="FS82" s="315"/>
      <c r="FT82" s="315"/>
      <c r="FU82" s="315"/>
      <c r="FV82" s="315"/>
      <c r="FW82" s="315"/>
      <c r="FX82" s="315"/>
      <c r="FY82" s="315"/>
      <c r="FZ82" s="315"/>
      <c r="GA82" s="315"/>
      <c r="GB82" s="315"/>
      <c r="GC82" s="315"/>
      <c r="GD82" s="315"/>
      <c r="GE82" s="315"/>
      <c r="GF82" s="315"/>
      <c r="GG82" s="315"/>
      <c r="GH82" s="315"/>
      <c r="GI82" s="315"/>
      <c r="GJ82" s="315"/>
      <c r="GK82" s="315"/>
      <c r="GL82" s="315"/>
      <c r="GM82" s="315"/>
      <c r="GN82" s="315"/>
      <c r="GO82" s="315"/>
      <c r="GP82" s="315"/>
      <c r="GQ82" s="315"/>
      <c r="GR82" s="315"/>
      <c r="GS82" s="315"/>
      <c r="GT82" s="315"/>
      <c r="GU82" s="315"/>
      <c r="GV82" s="315"/>
      <c r="GW82" s="315"/>
      <c r="GX82" s="315"/>
      <c r="GY82" s="315"/>
      <c r="GZ82" s="315"/>
      <c r="HA82" s="315"/>
      <c r="HB82" s="315"/>
      <c r="HC82" s="315"/>
      <c r="HD82" s="315"/>
      <c r="HE82" s="315"/>
      <c r="HF82" s="315"/>
      <c r="HG82" s="315"/>
      <c r="HH82" s="315"/>
      <c r="HI82" s="315"/>
      <c r="HJ82" s="315"/>
      <c r="HK82" s="315"/>
      <c r="HL82" s="315"/>
      <c r="HM82" s="315"/>
      <c r="HN82" s="315"/>
      <c r="HO82" s="315"/>
      <c r="HP82" s="315"/>
      <c r="HQ82" s="315"/>
      <c r="HR82" s="315"/>
      <c r="HS82" s="315"/>
      <c r="HT82" s="315"/>
      <c r="HU82" s="315"/>
      <c r="HV82" s="315"/>
      <c r="HW82" s="315"/>
      <c r="HX82" s="315"/>
      <c r="HY82" s="315"/>
      <c r="HZ82" s="315"/>
      <c r="IA82" s="315"/>
      <c r="IB82" s="315"/>
      <c r="IC82" s="315"/>
      <c r="ID82" s="315"/>
      <c r="IE82" s="315"/>
      <c r="IF82" s="315"/>
      <c r="IG82" s="315"/>
      <c r="IH82" s="315"/>
      <c r="II82" s="315"/>
      <c r="IJ82" s="315"/>
      <c r="IK82" s="315"/>
      <c r="IL82" s="315"/>
      <c r="IM82" s="315"/>
      <c r="IN82" s="315"/>
      <c r="IO82" s="315"/>
      <c r="IP82" s="315"/>
      <c r="IQ82" s="315"/>
      <c r="IR82" s="315"/>
      <c r="IS82" s="315"/>
      <c r="IT82" s="315"/>
      <c r="IU82" s="315"/>
      <c r="IV82" s="315"/>
      <c r="IW82" s="315"/>
    </row>
    <row r="83" customFormat="false" ht="12.75" hidden="false" customHeight="false" outlineLevel="0" collapsed="false">
      <c r="A83" s="294" t="s">
        <v>292</v>
      </c>
      <c r="B83" s="294"/>
      <c r="C83" s="313" t="n">
        <f aca="false">SUM(C79:C82)</f>
        <v>4665.686920384</v>
      </c>
      <c r="D83" s="313" t="n">
        <f aca="false">SUM(D79:D82)</f>
        <v>3562.8921752</v>
      </c>
      <c r="E83" s="313" t="n">
        <f aca="false">SUM(E79:E82)</f>
        <v>3724.2406644</v>
      </c>
      <c r="F83" s="313" t="n">
        <f aca="false">SUM(F79:F82)</f>
        <v>3154.334092</v>
      </c>
      <c r="G83" s="313" t="n">
        <f aca="false">SUM(G79:G82)</f>
        <v>2933.5725996</v>
      </c>
      <c r="H83" s="313" t="n">
        <f aca="false">SUM(H79:H82)</f>
        <v>2764.567682</v>
      </c>
      <c r="I83" s="313" t="n">
        <f aca="false">SUM(I79:I82)</f>
        <v>3031.340049</v>
      </c>
      <c r="J83" s="313" t="n">
        <f aca="false">SUM(J79:J82)</f>
        <v>3064.7269372</v>
      </c>
      <c r="K83" s="313" t="n">
        <f aca="false">SUM(K79:K82)</f>
        <v>2490.4511</v>
      </c>
      <c r="L83" s="313" t="n">
        <f aca="false">SUM(L79:L82)</f>
        <v>2746.862233912</v>
      </c>
      <c r="M83" s="313" t="n">
        <f aca="false">SUM(M79:M82)</f>
        <v>2663.50818662</v>
      </c>
      <c r="N83" s="313" t="n">
        <f aca="false">SUM(N79:N82)</f>
        <v>2575.71144627</v>
      </c>
      <c r="O83" s="313" t="n">
        <f aca="false">SUM(C83:N83)</f>
        <v>37377.894086586</v>
      </c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294"/>
      <c r="B84" s="294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296" t="s">
        <v>293</v>
      </c>
      <c r="B85" s="294"/>
      <c r="C85" s="313" t="n">
        <v>2832</v>
      </c>
      <c r="D85" s="313" t="n">
        <v>2572</v>
      </c>
      <c r="E85" s="313" t="n">
        <v>2566</v>
      </c>
      <c r="F85" s="313" t="n">
        <v>2533</v>
      </c>
      <c r="G85" s="313" t="n">
        <v>2566</v>
      </c>
      <c r="H85" s="313" t="n">
        <v>2115</v>
      </c>
      <c r="I85" s="313" t="n">
        <v>2449</v>
      </c>
      <c r="J85" s="313" t="n">
        <v>2478</v>
      </c>
      <c r="K85" s="313" t="n">
        <v>2571</v>
      </c>
      <c r="L85" s="313" t="n">
        <v>3162</v>
      </c>
      <c r="M85" s="313" t="n">
        <v>2876</v>
      </c>
      <c r="N85" s="313" t="n">
        <v>2525</v>
      </c>
      <c r="O85" s="327" t="n">
        <f aca="false">SUM(C85:N85)</f>
        <v>31245</v>
      </c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294"/>
      <c r="B86" s="294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294" t="s">
        <v>294</v>
      </c>
      <c r="B87" s="294"/>
      <c r="C87" s="313" t="n">
        <f aca="false">C83-C85</f>
        <v>1833.686920384</v>
      </c>
      <c r="D87" s="313" t="n">
        <f aca="false">D83-D85</f>
        <v>990.8921752</v>
      </c>
      <c r="E87" s="313" t="n">
        <f aca="false">E83-E85</f>
        <v>1158.2406644</v>
      </c>
      <c r="F87" s="313" t="n">
        <f aca="false">F83-F85</f>
        <v>621.334092</v>
      </c>
      <c r="G87" s="313" t="n">
        <f aca="false">G83-G85</f>
        <v>367.5725996</v>
      </c>
      <c r="H87" s="313" t="n">
        <f aca="false">H83-H85</f>
        <v>649.567682</v>
      </c>
      <c r="I87" s="313" t="n">
        <f aca="false">I83-I85</f>
        <v>582.340049</v>
      </c>
      <c r="J87" s="313" t="n">
        <f aca="false">J83-J85</f>
        <v>586.7269372</v>
      </c>
      <c r="K87" s="313" t="n">
        <f aca="false">K83-K85</f>
        <v>-80.5488999999998</v>
      </c>
      <c r="L87" s="313" t="n">
        <f aca="false">L83-L85</f>
        <v>-415.137766088</v>
      </c>
      <c r="M87" s="313" t="n">
        <f aca="false">M83-M85</f>
        <v>-212.49181338</v>
      </c>
      <c r="N87" s="313" t="n">
        <f aca="false">N83-N85</f>
        <v>50.7114462700001</v>
      </c>
      <c r="O87" s="313" t="n">
        <f aca="false">SUM(C87:N87)</f>
        <v>6132.894086586</v>
      </c>
      <c r="P87" s="0"/>
      <c r="Q87" s="314" t="n">
        <v>0</v>
      </c>
      <c r="R87" s="314" t="n">
        <v>0</v>
      </c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294"/>
      <c r="B88" s="29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6"/>
      <c r="Q88" s="305"/>
      <c r="R88" s="305"/>
    </row>
    <row r="89" customFormat="false" ht="12.75" hidden="false" customHeight="false" outlineLevel="0" collapsed="false">
      <c r="A89" s="294"/>
      <c r="B89" s="29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6"/>
      <c r="Q89" s="305"/>
      <c r="R89" s="305"/>
    </row>
    <row r="90" customFormat="false" ht="12.75" hidden="false" customHeight="false" outlineLevel="0" collapsed="false">
      <c r="A90" s="294"/>
      <c r="B90" s="29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294"/>
    </row>
    <row r="91" customFormat="false" ht="12.75" hidden="false" customHeight="false" outlineLevel="0" collapsed="false">
      <c r="A91" s="328" t="s">
        <v>295</v>
      </c>
      <c r="B91" s="329"/>
      <c r="C91" s="330" t="n">
        <v>0.0006</v>
      </c>
      <c r="D91" s="329"/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31"/>
    </row>
    <row r="92" customFormat="false" ht="12.75" hidden="false" customHeight="false" outlineLevel="0" collapsed="false">
      <c r="A92" s="332" t="s">
        <v>296</v>
      </c>
      <c r="B92" s="333"/>
      <c r="C92" s="305" t="n">
        <f aca="false">C45*$C$91</f>
        <v>34.3864896</v>
      </c>
      <c r="D92" s="305" t="n">
        <f aca="false">D45*$C$91</f>
        <v>30.98004</v>
      </c>
      <c r="E92" s="305" t="n">
        <f aca="false">E45*$C$91</f>
        <v>34.08822</v>
      </c>
      <c r="F92" s="305" t="n">
        <f aca="false">F45*$C$91</f>
        <v>37.5084</v>
      </c>
      <c r="G92" s="305" t="n">
        <f aca="false">G45*$C$91</f>
        <v>37.80822</v>
      </c>
      <c r="H92" s="305" t="n">
        <f aca="false">H45*$C$91</f>
        <v>35.8722</v>
      </c>
      <c r="I92" s="305" t="n">
        <f aca="false">I45*$C$91</f>
        <v>35.2563</v>
      </c>
      <c r="J92" s="305" t="n">
        <f aca="false">J45*$C$91</f>
        <v>35.47764</v>
      </c>
      <c r="K92" s="305" t="n">
        <f aca="false">K45*$C$91</f>
        <v>33.102</v>
      </c>
      <c r="L92" s="305" t="n">
        <f aca="false">L45*$C$91</f>
        <v>31.2007746</v>
      </c>
      <c r="M92" s="305" t="n">
        <f aca="false">M45*$C$91</f>
        <v>31.814946</v>
      </c>
      <c r="N92" s="305" t="n">
        <f aca="false">N45*$C$91</f>
        <v>36.2415978</v>
      </c>
      <c r="O92" s="334" t="n">
        <f aca="false">SUM(C92:N92)</f>
        <v>413.736828</v>
      </c>
      <c r="Q92" s="335" t="n">
        <f aca="false">Q45*0.0006</f>
        <v>420.43985</v>
      </c>
      <c r="R92" s="335" t="n">
        <f aca="false">R45*0.0006</f>
        <v>502.71815</v>
      </c>
    </row>
    <row r="93" customFormat="false" ht="12.75" hidden="false" customHeight="false" outlineLevel="0" collapsed="false">
      <c r="A93" s="332" t="s">
        <v>297</v>
      </c>
      <c r="B93" s="333"/>
      <c r="C93" s="336" t="n">
        <v>4.5</v>
      </c>
      <c r="D93" s="336" t="n">
        <v>4.5</v>
      </c>
      <c r="E93" s="336" t="n">
        <v>4.5</v>
      </c>
      <c r="F93" s="336" t="n">
        <v>4.5</v>
      </c>
      <c r="G93" s="336" t="n">
        <v>4.5</v>
      </c>
      <c r="H93" s="336" t="n">
        <v>4.5</v>
      </c>
      <c r="I93" s="336" t="n">
        <v>4.5</v>
      </c>
      <c r="J93" s="336" t="n">
        <v>4.5</v>
      </c>
      <c r="K93" s="336" t="n">
        <v>4.5</v>
      </c>
      <c r="L93" s="336" t="n">
        <v>4.5</v>
      </c>
      <c r="M93" s="336" t="n">
        <v>4.5</v>
      </c>
      <c r="N93" s="336" t="n">
        <v>4.5</v>
      </c>
      <c r="O93" s="337"/>
      <c r="Q93" s="294" t="n">
        <v>2.37</v>
      </c>
      <c r="R93" s="294" t="n">
        <v>2.37</v>
      </c>
    </row>
    <row r="94" customFormat="false" ht="12.75" hidden="false" customHeight="false" outlineLevel="0" collapsed="false">
      <c r="A94" s="332" t="s">
        <v>298</v>
      </c>
      <c r="B94" s="333"/>
      <c r="C94" s="338" t="n">
        <f aca="false">C92*C93</f>
        <v>154.7392032</v>
      </c>
      <c r="D94" s="338" t="n">
        <f aca="false">D92*D93</f>
        <v>139.41018</v>
      </c>
      <c r="E94" s="338" t="n">
        <f aca="false">E92*E93</f>
        <v>153.39699</v>
      </c>
      <c r="F94" s="338" t="n">
        <f aca="false">F92*F93</f>
        <v>168.7878</v>
      </c>
      <c r="G94" s="338" t="n">
        <f aca="false">G92*G93</f>
        <v>170.13699</v>
      </c>
      <c r="H94" s="338" t="n">
        <f aca="false">H92*H93</f>
        <v>161.4249</v>
      </c>
      <c r="I94" s="338" t="n">
        <f aca="false">I92*I93</f>
        <v>158.65335</v>
      </c>
      <c r="J94" s="338" t="n">
        <f aca="false">J92*J93</f>
        <v>159.64938</v>
      </c>
      <c r="K94" s="338" t="n">
        <f aca="false">K92*K93</f>
        <v>148.959</v>
      </c>
      <c r="L94" s="338" t="n">
        <f aca="false">L92*L93</f>
        <v>140.4034857</v>
      </c>
      <c r="M94" s="338" t="n">
        <f aca="false">M92*M93</f>
        <v>143.167257</v>
      </c>
      <c r="N94" s="338" t="n">
        <f aca="false">N92*N93</f>
        <v>163.0871901</v>
      </c>
      <c r="O94" s="339" t="n">
        <f aca="false">SUM(C94:N94)</f>
        <v>1861.815726</v>
      </c>
      <c r="Q94" s="335" t="n">
        <f aca="false">Q92*Q93</f>
        <v>996.4424445</v>
      </c>
      <c r="R94" s="335" t="n">
        <f aca="false">R92*R93</f>
        <v>1191.4420155</v>
      </c>
    </row>
    <row r="95" customFormat="false" ht="12.75" hidden="false" customHeight="false" outlineLevel="0" collapsed="false">
      <c r="A95" s="340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41"/>
    </row>
    <row r="96" customFormat="false" ht="12.75" hidden="false" customHeight="false" outlineLevel="0" collapsed="false">
      <c r="A96" s="294"/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</row>
    <row r="97" customFormat="false" ht="12.75" hidden="false" customHeight="false" outlineLevel="0" collapsed="false">
      <c r="A97" s="333"/>
      <c r="B97" s="333"/>
      <c r="C97" s="333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</row>
    <row r="98" customFormat="false" ht="12.75" hidden="false" customHeight="false" outlineLevel="0" collapsed="false">
      <c r="A98" s="333"/>
      <c r="B98" s="333"/>
      <c r="C98" s="342"/>
      <c r="D98" s="333"/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</row>
    <row r="99" customFormat="false" ht="12.75" hidden="false" customHeight="false" outlineLevel="0" collapsed="false">
      <c r="A99" s="343" t="s">
        <v>299</v>
      </c>
      <c r="B99" s="329"/>
      <c r="C99" s="330" t="n">
        <v>0.0006</v>
      </c>
      <c r="D99" s="329"/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31"/>
    </row>
    <row r="100" customFormat="false" ht="12.75" hidden="false" customHeight="false" outlineLevel="0" collapsed="false">
      <c r="A100" s="332" t="s">
        <v>296</v>
      </c>
      <c r="B100" s="333"/>
      <c r="C100" s="305" t="n">
        <v>34.41372</v>
      </c>
      <c r="D100" s="305" t="n">
        <v>30.64488</v>
      </c>
      <c r="E100" s="305" t="n">
        <v>33.52278</v>
      </c>
      <c r="F100" s="305" t="n">
        <v>30.8988</v>
      </c>
      <c r="G100" s="305" t="n">
        <v>32.829</v>
      </c>
      <c r="H100" s="305" t="n">
        <v>32.4774</v>
      </c>
      <c r="I100" s="305" t="n">
        <v>29.5833</v>
      </c>
      <c r="J100" s="305" t="n">
        <v>31.15128</v>
      </c>
      <c r="K100" s="305" t="n">
        <v>29.0034</v>
      </c>
      <c r="L100" s="305" t="n">
        <v>31.69254</v>
      </c>
      <c r="M100" s="305" t="n">
        <v>31.3884</v>
      </c>
      <c r="N100" s="305" t="n">
        <v>34.37466</v>
      </c>
      <c r="O100" s="334" t="n">
        <f aca="false">SUM(C100:N100)</f>
        <v>381.98016</v>
      </c>
    </row>
    <row r="101" customFormat="false" ht="12.75" hidden="false" customHeight="false" outlineLevel="0" collapsed="false">
      <c r="A101" s="332" t="s">
        <v>297</v>
      </c>
      <c r="B101" s="333"/>
      <c r="C101" s="336" t="n">
        <v>4.5</v>
      </c>
      <c r="D101" s="336" t="n">
        <v>4.5</v>
      </c>
      <c r="E101" s="336" t="n">
        <v>4.5</v>
      </c>
      <c r="F101" s="336" t="n">
        <v>4.5</v>
      </c>
      <c r="G101" s="336" t="n">
        <v>4.5</v>
      </c>
      <c r="H101" s="336" t="n">
        <v>4.5</v>
      </c>
      <c r="I101" s="336" t="n">
        <v>4.5</v>
      </c>
      <c r="J101" s="336" t="n">
        <v>4.5</v>
      </c>
      <c r="K101" s="336" t="n">
        <v>4.5</v>
      </c>
      <c r="L101" s="336" t="n">
        <v>4.5</v>
      </c>
      <c r="M101" s="336" t="n">
        <v>4.5</v>
      </c>
      <c r="N101" s="336" t="n">
        <v>4.5</v>
      </c>
      <c r="O101" s="337"/>
    </row>
    <row r="102" customFormat="false" ht="12.75" hidden="false" customHeight="false" outlineLevel="0" collapsed="false">
      <c r="A102" s="332" t="s">
        <v>298</v>
      </c>
      <c r="B102" s="333"/>
      <c r="C102" s="338" t="n">
        <f aca="false">C100*C101</f>
        <v>154.86174</v>
      </c>
      <c r="D102" s="338" t="n">
        <f aca="false">D100*D101</f>
        <v>137.90196</v>
      </c>
      <c r="E102" s="338" t="n">
        <f aca="false">E100*E101</f>
        <v>150.85251</v>
      </c>
      <c r="F102" s="338" t="n">
        <f aca="false">F100*F101</f>
        <v>139.0446</v>
      </c>
      <c r="G102" s="338" t="n">
        <f aca="false">G100*G101</f>
        <v>147.7305</v>
      </c>
      <c r="H102" s="338" t="n">
        <f aca="false">H100*H101</f>
        <v>146.1483</v>
      </c>
      <c r="I102" s="338" t="n">
        <f aca="false">I100*I101</f>
        <v>133.12485</v>
      </c>
      <c r="J102" s="338" t="n">
        <f aca="false">J100*J101</f>
        <v>140.18076</v>
      </c>
      <c r="K102" s="338" t="n">
        <f aca="false">K100*K101</f>
        <v>130.5153</v>
      </c>
      <c r="L102" s="338" t="n">
        <f aca="false">L100*L101</f>
        <v>142.61643</v>
      </c>
      <c r="M102" s="338" t="n">
        <f aca="false">M100*M101</f>
        <v>141.2478</v>
      </c>
      <c r="N102" s="338" t="n">
        <f aca="false">N100*N101</f>
        <v>154.68597</v>
      </c>
      <c r="O102" s="339" t="n">
        <f aca="false">SUM(C102:N102)</f>
        <v>1718.91072</v>
      </c>
    </row>
    <row r="103" customFormat="false" ht="12.75" hidden="false" customHeight="false" outlineLevel="0" collapsed="false">
      <c r="A103" s="340"/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41"/>
    </row>
    <row r="106" customFormat="false" ht="12.75" hidden="false" customHeight="false" outlineLevel="0" collapsed="false">
      <c r="A106" s="343" t="s">
        <v>5</v>
      </c>
      <c r="B106" s="329"/>
      <c r="C106" s="330"/>
      <c r="D106" s="329"/>
      <c r="E106" s="329"/>
      <c r="F106" s="329"/>
      <c r="G106" s="329"/>
      <c r="H106" s="329"/>
      <c r="I106" s="329"/>
      <c r="J106" s="329"/>
      <c r="K106" s="329"/>
      <c r="L106" s="329"/>
      <c r="M106" s="329"/>
      <c r="N106" s="329"/>
      <c r="O106" s="331"/>
    </row>
    <row r="107" customFormat="false" ht="12.75" hidden="false" customHeight="false" outlineLevel="0" collapsed="false">
      <c r="A107" s="332" t="s">
        <v>300</v>
      </c>
      <c r="B107" s="333"/>
      <c r="C107" s="305" t="n">
        <f aca="false">(C56+C59+C60+C61)/C1</f>
        <v>29.6597261419356</v>
      </c>
      <c r="D107" s="305" t="n">
        <f aca="false">(D56+D59+D60+D61)/D1</f>
        <v>29.9741414285713</v>
      </c>
      <c r="E107" s="305" t="n">
        <f aca="false">(E56+E59+E60+E61)/E1</f>
        <v>29.8294122580645</v>
      </c>
      <c r="F107" s="305" t="n">
        <f aca="false">(F56+F59+F60+F61)/F1</f>
        <v>26.9693866666667</v>
      </c>
      <c r="G107" s="305" t="n">
        <f aca="false">(G56+G59+G60+G61)/G1</f>
        <v>26.1287670967742</v>
      </c>
      <c r="H107" s="305" t="n">
        <f aca="false">(H56+H59+H60+H61)/H1</f>
        <v>26.5709266666667</v>
      </c>
      <c r="I107" s="305" t="n">
        <f aca="false">(I56+I59+I60+I61)/I1</f>
        <v>29.594958064516</v>
      </c>
      <c r="J107" s="305" t="n">
        <f aca="false">(J56+J59+J60+J61)/J1</f>
        <v>29.9942696774193</v>
      </c>
      <c r="K107" s="305" t="n">
        <f aca="false">(K56+K59+K60+K61)/K1</f>
        <v>26.0632666666668</v>
      </c>
      <c r="L107" s="305" t="n">
        <f aca="false">(L56+L59+L60+L61)/L1</f>
        <v>27.6469266258064</v>
      </c>
      <c r="M107" s="305" t="n">
        <f aca="false">(M56+M59+M60+M61)/M1</f>
        <v>26.9480017999999</v>
      </c>
      <c r="N107" s="305" t="n">
        <f aca="false">(N56+N59+N60+N61)/N1</f>
        <v>24.1718142000001</v>
      </c>
      <c r="O107" s="334" t="n">
        <f aca="false">SUM(C107:N107)</f>
        <v>333.551597293087</v>
      </c>
    </row>
    <row r="108" customFormat="false" ht="12.75" hidden="false" customHeight="false" outlineLevel="0" collapsed="false">
      <c r="A108" s="332" t="s">
        <v>301</v>
      </c>
      <c r="B108" s="333"/>
      <c r="C108" s="344" t="n">
        <v>20</v>
      </c>
      <c r="D108" s="344" t="n">
        <v>20</v>
      </c>
      <c r="E108" s="344" t="n">
        <v>20</v>
      </c>
      <c r="F108" s="344" t="n">
        <v>20</v>
      </c>
      <c r="G108" s="344" t="n">
        <v>20</v>
      </c>
      <c r="H108" s="344" t="n">
        <v>20</v>
      </c>
      <c r="I108" s="344" t="n">
        <v>20</v>
      </c>
      <c r="J108" s="344" t="n">
        <v>20</v>
      </c>
      <c r="K108" s="344" t="n">
        <v>20</v>
      </c>
      <c r="L108" s="344" t="n">
        <v>20</v>
      </c>
      <c r="M108" s="344" t="n">
        <v>20</v>
      </c>
      <c r="N108" s="344" t="n">
        <v>20</v>
      </c>
      <c r="O108" s="334" t="n">
        <f aca="false">SUM(C108:N108)</f>
        <v>240</v>
      </c>
    </row>
    <row r="109" customFormat="false" ht="12.75" hidden="false" customHeight="false" outlineLevel="0" collapsed="false">
      <c r="A109" s="332" t="s">
        <v>302</v>
      </c>
      <c r="B109" s="333"/>
      <c r="C109" s="345" t="n">
        <f aca="false">C107-C108</f>
        <v>9.65972614193557</v>
      </c>
      <c r="D109" s="345" t="n">
        <f aca="false">D107-D108</f>
        <v>9.97414142857134</v>
      </c>
      <c r="E109" s="345" t="n">
        <f aca="false">E107-E108</f>
        <v>9.82941225806447</v>
      </c>
      <c r="F109" s="345" t="n">
        <f aca="false">F107-F108</f>
        <v>6.96938666666672</v>
      </c>
      <c r="G109" s="345" t="n">
        <f aca="false">G107-G108</f>
        <v>6.12876709677418</v>
      </c>
      <c r="H109" s="345" t="n">
        <f aca="false">H107-H108</f>
        <v>6.57092666666667</v>
      </c>
      <c r="I109" s="345" t="n">
        <f aca="false">I107-I108</f>
        <v>9.59495806451603</v>
      </c>
      <c r="J109" s="345" t="n">
        <f aca="false">J107-J108</f>
        <v>9.9942696774193</v>
      </c>
      <c r="K109" s="345" t="n">
        <f aca="false">K107-K108</f>
        <v>6.06326666666683</v>
      </c>
      <c r="L109" s="345" t="n">
        <f aca="false">L107-L108</f>
        <v>7.64692662580636</v>
      </c>
      <c r="M109" s="345" t="n">
        <f aca="false">M107-M108</f>
        <v>6.94800179999987</v>
      </c>
      <c r="N109" s="345" t="n">
        <f aca="false">N107-N108</f>
        <v>4.17181420000011</v>
      </c>
      <c r="O109" s="334" t="n">
        <f aca="false">SUM(C109:N109)</f>
        <v>93.5515972930874</v>
      </c>
    </row>
    <row r="110" customFormat="false" ht="12.75" hidden="false" customHeight="false" outlineLevel="0" collapsed="false">
      <c r="A110" s="340"/>
      <c r="B110" s="300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41"/>
    </row>
    <row r="112" customFormat="false" ht="12.75" hidden="false" customHeight="false" outlineLevel="0" collapsed="false">
      <c r="A112" s="293" t="str">
        <f aca="true">CELL("filename")</f>
        <v>'file:///mnt/12tb/@roms/datasets/enron/EDRM Enron Email Data Set v2 XML/filtered-attachments/xls/CE_3_2001.xls'#$Fuel Calc</v>
      </c>
      <c r="F112" s="346" t="n">
        <f aca="true">(NOW())</f>
        <v>45926.9978191112</v>
      </c>
    </row>
    <row r="118" customFormat="false" ht="12.75" hidden="false" customHeight="false" outlineLevel="0" collapsed="false">
      <c r="C118" s="347" t="s">
        <v>96</v>
      </c>
      <c r="D118" s="347" t="s">
        <v>97</v>
      </c>
      <c r="E118" s="347" t="s">
        <v>98</v>
      </c>
      <c r="F118" s="347" t="s">
        <v>99</v>
      </c>
      <c r="G118" s="347" t="s">
        <v>100</v>
      </c>
      <c r="H118" s="347" t="s">
        <v>101</v>
      </c>
      <c r="I118" s="347" t="s">
        <v>102</v>
      </c>
      <c r="J118" s="347" t="s">
        <v>103</v>
      </c>
      <c r="K118" s="347" t="s">
        <v>104</v>
      </c>
      <c r="L118" s="347" t="s">
        <v>3</v>
      </c>
      <c r="M118" s="347" t="s">
        <v>105</v>
      </c>
      <c r="N118" s="347" t="s">
        <v>106</v>
      </c>
      <c r="O118" s="298" t="s">
        <v>244</v>
      </c>
      <c r="P118" s="298" t="s">
        <v>303</v>
      </c>
    </row>
    <row r="119" customFormat="false" ht="12.75" hidden="false" customHeight="false" outlineLevel="0" collapsed="false">
      <c r="P119" s="294"/>
    </row>
    <row r="120" customFormat="false" ht="12.75" hidden="false" customHeight="false" outlineLevel="0" collapsed="false">
      <c r="A120" s="348" t="s">
        <v>304</v>
      </c>
      <c r="P120" s="294"/>
    </row>
    <row r="121" customFormat="false" ht="12.75" hidden="false" customHeight="false" outlineLevel="0" collapsed="false">
      <c r="A121" s="348" t="s">
        <v>305</v>
      </c>
      <c r="P121" s="294"/>
    </row>
    <row r="122" customFormat="false" ht="12.75" hidden="false" customHeight="false" outlineLevel="0" collapsed="false">
      <c r="A122" s="348" t="s">
        <v>306</v>
      </c>
      <c r="C122" s="308" t="n">
        <f aca="false">C54+C55</f>
        <v>146.847</v>
      </c>
      <c r="D122" s="308" t="n">
        <f aca="false">D54+D55</f>
        <v>132.776</v>
      </c>
      <c r="E122" s="308" t="n">
        <f aca="false">E54+E55</f>
        <v>151.900000000001</v>
      </c>
      <c r="F122" s="308" t="n">
        <f aca="false">F54+F55</f>
        <v>229.590000000001</v>
      </c>
      <c r="G122" s="308" t="n">
        <f aca="false">G54+G55</f>
        <v>216.999999999999</v>
      </c>
      <c r="H122" s="308" t="n">
        <f aca="false">H54+H55</f>
        <v>204.000000000001</v>
      </c>
      <c r="I122" s="308" t="n">
        <f aca="false">I54+I55</f>
        <v>213.899999999999</v>
      </c>
      <c r="J122" s="308" t="n">
        <f aca="false">J54+J55</f>
        <v>207.699999999998</v>
      </c>
      <c r="K122" s="308" t="n">
        <f aca="false">K54+K55</f>
        <v>177.000000000002</v>
      </c>
      <c r="L122" s="308" t="n">
        <f aca="false">L54+L55</f>
        <v>173.909999999999</v>
      </c>
      <c r="M122" s="308" t="n">
        <f aca="false">M54+M55</f>
        <v>183.599999999998</v>
      </c>
      <c r="N122" s="308" t="n">
        <f aca="false">N54+N55</f>
        <v>205.263337999999</v>
      </c>
      <c r="O122" s="308" t="n">
        <f aca="false">SUM(C122:N122)</f>
        <v>2243.486338</v>
      </c>
      <c r="P122" s="294" t="n">
        <f aca="false">ROUND(O122/12,1)</f>
        <v>187</v>
      </c>
    </row>
    <row r="123" customFormat="false" ht="12.75" hidden="false" customHeight="false" outlineLevel="0" collapsed="false">
      <c r="A123" s="348" t="s">
        <v>307</v>
      </c>
      <c r="C123" s="308" t="n">
        <f aca="false">SUM(C52:C56)</f>
        <v>2183.02000000001</v>
      </c>
      <c r="D123" s="308" t="n">
        <f aca="false">SUM(D52:D56)</f>
        <v>1975.764</v>
      </c>
      <c r="E123" s="308" t="n">
        <f aca="false">SUM(E52:E56)</f>
        <v>2179.3</v>
      </c>
      <c r="F123" s="308" t="n">
        <f aca="false">SUM(F52:F56)</f>
        <v>2241.18</v>
      </c>
      <c r="G123" s="308" t="n">
        <f aca="false">SUM(G52:G56)</f>
        <v>2244.4</v>
      </c>
      <c r="H123" s="308" t="n">
        <f aca="false">SUM(H52:H56)</f>
        <v>2157</v>
      </c>
      <c r="I123" s="308" t="n">
        <f aca="false">SUM(I52:I56)</f>
        <v>2272.3</v>
      </c>
      <c r="J123" s="308" t="n">
        <f aca="false">SUM(J52:J56)</f>
        <v>2284.7</v>
      </c>
      <c r="K123" s="308" t="n">
        <f aca="false">SUM(K52:K56)</f>
        <v>2025.00000000001</v>
      </c>
      <c r="L123" s="308" t="n">
        <f aca="false">SUM(L52:L56)</f>
        <v>2037.295</v>
      </c>
      <c r="M123" s="308" t="n">
        <f aca="false">SUM(M52:M56)</f>
        <v>2016.58999999999</v>
      </c>
      <c r="N123" s="308" t="n">
        <f aca="false">SUM(N52:N56)</f>
        <v>2126.19067600001</v>
      </c>
      <c r="O123" s="308" t="n">
        <f aca="false">SUM(C123:N123)</f>
        <v>25742.739676</v>
      </c>
      <c r="P123" s="294" t="n">
        <f aca="false">ROUND(O123/12,1)</f>
        <v>2145.2</v>
      </c>
    </row>
    <row r="124" customFormat="false" ht="12.75" hidden="false" customHeight="false" outlineLevel="0" collapsed="false">
      <c r="A124" s="348" t="s">
        <v>308</v>
      </c>
      <c r="C124" s="308" t="n">
        <f aca="false">SUM(C122:C123)</f>
        <v>2329.867</v>
      </c>
      <c r="D124" s="308" t="n">
        <f aca="false">SUM(D122:D123)</f>
        <v>2108.54</v>
      </c>
      <c r="E124" s="308" t="n">
        <f aca="false">SUM(E122:E123)</f>
        <v>2331.2</v>
      </c>
      <c r="F124" s="308" t="n">
        <f aca="false">SUM(F122:F123)</f>
        <v>2470.77</v>
      </c>
      <c r="G124" s="308" t="n">
        <f aca="false">SUM(G122:G123)</f>
        <v>2461.4</v>
      </c>
      <c r="H124" s="308" t="n">
        <f aca="false">SUM(H122:H123)</f>
        <v>2361</v>
      </c>
      <c r="I124" s="308" t="n">
        <f aca="false">SUM(I122:I123)</f>
        <v>2486.2</v>
      </c>
      <c r="J124" s="308" t="n">
        <f aca="false">SUM(J122:J123)</f>
        <v>2492.4</v>
      </c>
      <c r="K124" s="308" t="n">
        <f aca="false">SUM(K122:K123)</f>
        <v>2202.00000000001</v>
      </c>
      <c r="L124" s="308" t="n">
        <f aca="false">SUM(L122:L123)</f>
        <v>2211.20499999999</v>
      </c>
      <c r="M124" s="308" t="n">
        <f aca="false">SUM(M122:M123)</f>
        <v>2200.18999999999</v>
      </c>
      <c r="N124" s="308" t="n">
        <f aca="false">SUM(N122:N123)</f>
        <v>2331.45401400001</v>
      </c>
      <c r="O124" s="308" t="n">
        <f aca="false">SUM(O122:O123)</f>
        <v>27986.226014</v>
      </c>
      <c r="P124" s="308" t="n">
        <f aca="false">SUM(P122:P123)</f>
        <v>2332.2</v>
      </c>
    </row>
    <row r="125" customFormat="false" ht="12.75" hidden="false" customHeight="false" outlineLevel="0" collapsed="false">
      <c r="A125" s="348"/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</row>
    <row r="126" customFormat="false" ht="12.75" hidden="false" customHeight="false" outlineLevel="0" collapsed="false">
      <c r="A126" s="348" t="s">
        <v>309</v>
      </c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</row>
    <row r="127" customFormat="false" ht="12.75" hidden="false" customHeight="false" outlineLevel="0" collapsed="false">
      <c r="A127" s="348" t="s">
        <v>310</v>
      </c>
      <c r="C127" s="308" t="n">
        <f aca="false">SUM(C17:C18)</f>
        <v>336.063</v>
      </c>
      <c r="D127" s="308" t="n">
        <f aca="false">SUM(D17:D18)</f>
        <v>343.858</v>
      </c>
      <c r="E127" s="308" t="n">
        <f aca="false">SUM(E17:E18)</f>
        <v>358.7</v>
      </c>
      <c r="F127" s="308" t="n">
        <f aca="false">SUM(F17:F18)</f>
        <v>540.447</v>
      </c>
      <c r="G127" s="308" t="n">
        <f aca="false">SUM(G17:G18)</f>
        <v>494.4</v>
      </c>
      <c r="H127" s="308" t="n">
        <f aca="false">SUM(H17:H18)</f>
        <v>484.2</v>
      </c>
      <c r="I127" s="308" t="n">
        <f aca="false">SUM(I17:I18)</f>
        <v>493.8</v>
      </c>
      <c r="J127" s="308" t="n">
        <f aca="false">SUM(J17:J18)</f>
        <v>471.4</v>
      </c>
      <c r="K127" s="308" t="n">
        <f aca="false">SUM(K17:K18)</f>
        <v>422.7</v>
      </c>
      <c r="L127" s="308" t="n">
        <f aca="false">SUM(L17:L18)</f>
        <v>398.29</v>
      </c>
      <c r="M127" s="308" t="n">
        <f aca="false">SUM(M17:M18)</f>
        <v>438.88</v>
      </c>
      <c r="N127" s="308" t="n">
        <f aca="false">SUM(N17:N18)</f>
        <v>473.378602</v>
      </c>
      <c r="O127" s="308" t="n">
        <f aca="false">SUM(C127:N127)</f>
        <v>5256.116602</v>
      </c>
      <c r="P127" s="294" t="n">
        <f aca="false">ROUND(O127/12,1)</f>
        <v>438</v>
      </c>
    </row>
    <row r="128" customFormat="false" ht="12.75" hidden="false" customHeight="false" outlineLevel="0" collapsed="false">
      <c r="A128" s="348" t="s">
        <v>311</v>
      </c>
      <c r="C128" s="302" t="n">
        <f aca="false">SUM(C12:C16)</f>
        <v>2213.839</v>
      </c>
      <c r="D128" s="302" t="n">
        <f aca="false">SUM(D12:D16)</f>
        <v>2194.69</v>
      </c>
      <c r="E128" s="302" t="n">
        <f aca="false">SUM(E12:E16)</f>
        <v>2118.6</v>
      </c>
      <c r="F128" s="302" t="n">
        <f aca="false">SUM(F12:F16)</f>
        <v>2107.1</v>
      </c>
      <c r="G128" s="302" t="n">
        <f aca="false">SUM(G12:G16)</f>
        <v>2124.4</v>
      </c>
      <c r="H128" s="302" t="n">
        <f aca="false">SUM(H12:H16)</f>
        <v>2140.3</v>
      </c>
      <c r="I128" s="302" t="n">
        <f aca="false">SUM(I12:I16)</f>
        <v>2160.1</v>
      </c>
      <c r="J128" s="302" t="n">
        <f aca="false">SUM(J12:J16)</f>
        <v>2176</v>
      </c>
      <c r="K128" s="302" t="n">
        <f aca="false">SUM(K12:K16)</f>
        <v>2036.6</v>
      </c>
      <c r="L128" s="302" t="n">
        <f aca="false">SUM(L12:L16)</f>
        <v>1918.89530645161</v>
      </c>
      <c r="M128" s="302" t="n">
        <f aca="false">SUM(M12:M16)</f>
        <v>1961.24483333333</v>
      </c>
      <c r="N128" s="302" t="n">
        <f aca="false">SUM(N12:N16)</f>
        <v>2037.3805</v>
      </c>
      <c r="O128" s="308" t="n">
        <f aca="false">SUM(C128:N128)</f>
        <v>25189.1496397849</v>
      </c>
      <c r="P128" s="294" t="n">
        <f aca="false">ROUND(O128/12,1)</f>
        <v>2099.1</v>
      </c>
    </row>
    <row r="129" customFormat="false" ht="12.75" hidden="false" customHeight="false" outlineLevel="0" collapsed="false">
      <c r="A129" s="348"/>
      <c r="C129" s="308" t="n">
        <f aca="false">SUM(C127:C128)</f>
        <v>2549.902</v>
      </c>
      <c r="D129" s="308" t="n">
        <f aca="false">SUM(D127:D128)</f>
        <v>2538.548</v>
      </c>
      <c r="E129" s="308" t="n">
        <f aca="false">SUM(E127:E128)</f>
        <v>2477.3</v>
      </c>
      <c r="F129" s="308" t="n">
        <f aca="false">SUM(F127:F128)</f>
        <v>2647.547</v>
      </c>
      <c r="G129" s="308" t="n">
        <f aca="false">SUM(G127:G128)</f>
        <v>2618.8</v>
      </c>
      <c r="H129" s="308" t="n">
        <f aca="false">SUM(H127:H128)</f>
        <v>2624.5</v>
      </c>
      <c r="I129" s="308" t="n">
        <f aca="false">SUM(I127:I128)</f>
        <v>2653.9</v>
      </c>
      <c r="J129" s="308" t="n">
        <f aca="false">SUM(J127:J128)</f>
        <v>2647.4</v>
      </c>
      <c r="K129" s="308" t="n">
        <f aca="false">SUM(K127:K128)</f>
        <v>2459.3</v>
      </c>
      <c r="L129" s="308" t="n">
        <f aca="false">SUM(L127:L128)</f>
        <v>2317.18530645161</v>
      </c>
      <c r="M129" s="308" t="n">
        <f aca="false">SUM(M127:M128)</f>
        <v>2400.12483333333</v>
      </c>
      <c r="N129" s="308" t="n">
        <f aca="false">SUM(N127:N128)</f>
        <v>2510.759102</v>
      </c>
      <c r="O129" s="308" t="n">
        <f aca="false">SUM(O127:O128)</f>
        <v>30445.2662417849</v>
      </c>
      <c r="P129" s="308" t="n">
        <f aca="false">SUM(P127:P128)</f>
        <v>2537.1</v>
      </c>
    </row>
    <row r="130" customFormat="false" ht="12.75" hidden="false" customHeight="false" outlineLevel="0" collapsed="false">
      <c r="A130" s="348" t="s">
        <v>312</v>
      </c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</row>
    <row r="131" customFormat="false" ht="12.75" hidden="false" customHeight="false" outlineLevel="0" collapsed="false">
      <c r="A131" s="348" t="s">
        <v>313</v>
      </c>
      <c r="C131" s="308" t="n">
        <f aca="false">C122</f>
        <v>146.847</v>
      </c>
      <c r="D131" s="308" t="n">
        <f aca="false">D122</f>
        <v>132.776</v>
      </c>
      <c r="E131" s="308" t="n">
        <f aca="false">E122</f>
        <v>151.900000000001</v>
      </c>
      <c r="F131" s="308" t="n">
        <f aca="false">F122</f>
        <v>229.590000000001</v>
      </c>
      <c r="G131" s="308" t="n">
        <f aca="false">G122</f>
        <v>216.999999999999</v>
      </c>
      <c r="H131" s="308" t="n">
        <f aca="false">H122</f>
        <v>204.000000000001</v>
      </c>
      <c r="I131" s="308" t="n">
        <f aca="false">I122</f>
        <v>213.899999999999</v>
      </c>
      <c r="J131" s="308" t="n">
        <f aca="false">J122</f>
        <v>207.699999999998</v>
      </c>
      <c r="K131" s="308" t="n">
        <f aca="false">K122</f>
        <v>177.000000000002</v>
      </c>
      <c r="L131" s="308" t="n">
        <f aca="false">L122</f>
        <v>173.909999999999</v>
      </c>
      <c r="M131" s="308" t="n">
        <f aca="false">M122</f>
        <v>183.599999999998</v>
      </c>
      <c r="N131" s="308" t="n">
        <f aca="false">N122</f>
        <v>205.263337999999</v>
      </c>
      <c r="O131" s="308" t="n">
        <f aca="false">SUM(C131:N131)</f>
        <v>2243.486338</v>
      </c>
      <c r="P131" s="294" t="n">
        <f aca="false">ROUND(O131/12,1)</f>
        <v>187</v>
      </c>
    </row>
    <row r="132" customFormat="false" ht="12.75" hidden="false" customHeight="false" outlineLevel="0" collapsed="false">
      <c r="A132" s="348" t="s">
        <v>314</v>
      </c>
      <c r="C132" s="308" t="n">
        <f aca="false">(914.28*1.09)-C131</f>
        <v>849.7182</v>
      </c>
      <c r="D132" s="308" t="n">
        <f aca="false">(836.32*1.09)-D131</f>
        <v>778.8128</v>
      </c>
      <c r="E132" s="308" t="n">
        <f aca="false">(923.44*1.09)-E131</f>
        <v>854.6496</v>
      </c>
      <c r="F132" s="308" t="n">
        <f aca="false">(765.77*1.09)-F131</f>
        <v>605.099299999999</v>
      </c>
      <c r="G132" s="308" t="n">
        <f aca="false">(795.19*1.09)-G131</f>
        <v>649.757100000001</v>
      </c>
      <c r="H132" s="308" t="n">
        <f aca="false">(792.9*1.09)-H131</f>
        <v>660.260999999999</v>
      </c>
      <c r="I132" s="308" t="n">
        <f aca="false">(829.19*1.09)-I131</f>
        <v>689.917100000001</v>
      </c>
      <c r="J132" s="294" t="n">
        <f aca="false">ROUND((J128-J16)*J76*J1,2)</f>
        <v>765.41</v>
      </c>
      <c r="K132" s="294" t="n">
        <f aca="false">ROUND((K128-K16)*K76*K1,2)</f>
        <v>732.89</v>
      </c>
      <c r="L132" s="294" t="n">
        <f aca="false">ROUND((L128-L16)*L76*L1,2)</f>
        <v>681.52</v>
      </c>
      <c r="M132" s="294" t="n">
        <f aca="false">ROUND((M128-M16)*M76*M1,2)</f>
        <v>685.71</v>
      </c>
      <c r="N132" s="294" t="n">
        <f aca="false">ROUND((N128-N16)*N76*N1,2)</f>
        <v>789.99</v>
      </c>
      <c r="O132" s="308" t="n">
        <f aca="false">SUM(C132:N132)</f>
        <v>8743.7351</v>
      </c>
      <c r="P132" s="294" t="n">
        <f aca="false">ROUND(O132/12,1)</f>
        <v>728.6</v>
      </c>
    </row>
    <row r="133" customFormat="false" ht="12.75" hidden="false" customHeight="false" outlineLevel="0" collapsed="false">
      <c r="A133" s="348"/>
      <c r="C133" s="308" t="n">
        <f aca="false">SUM(C131:C132)</f>
        <v>996.5652</v>
      </c>
      <c r="D133" s="308" t="n">
        <f aca="false">SUM(D131:D132)</f>
        <v>911.5888</v>
      </c>
      <c r="E133" s="308" t="n">
        <f aca="false">SUM(E131:E132)</f>
        <v>1006.5496</v>
      </c>
      <c r="F133" s="308" t="n">
        <f aca="false">SUM(F131:F132)</f>
        <v>834.6893</v>
      </c>
      <c r="G133" s="308" t="n">
        <f aca="false">SUM(G131:G132)</f>
        <v>866.7571</v>
      </c>
      <c r="H133" s="308" t="n">
        <f aca="false">SUM(H131:H132)</f>
        <v>864.261</v>
      </c>
      <c r="I133" s="308" t="n">
        <f aca="false">SUM(I131:I132)</f>
        <v>903.8171</v>
      </c>
      <c r="J133" s="308" t="n">
        <f aca="false">SUM(J131:J132)</f>
        <v>973.109999999998</v>
      </c>
      <c r="K133" s="308" t="n">
        <f aca="false">SUM(K131:K132)</f>
        <v>909.890000000002</v>
      </c>
      <c r="L133" s="308" t="n">
        <f aca="false">SUM(L131:L132)</f>
        <v>855.429999999999</v>
      </c>
      <c r="M133" s="308" t="n">
        <f aca="false">SUM(M131:M132)</f>
        <v>869.309999999999</v>
      </c>
      <c r="N133" s="308" t="n">
        <f aca="false">SUM(N131:N132)</f>
        <v>995.253337999999</v>
      </c>
      <c r="O133" s="308" t="n">
        <f aca="false">SUM(O131:O132)</f>
        <v>10987.221438</v>
      </c>
      <c r="P133" s="308" t="n">
        <f aca="false">SUM(P131:P132)</f>
        <v>915.6</v>
      </c>
    </row>
    <row r="134" customFormat="false" ht="12.75" hidden="false" customHeight="false" outlineLevel="0" collapsed="false">
      <c r="A134" s="348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</row>
    <row r="135" customFormat="false" ht="12.75" hidden="false" customHeight="false" outlineLevel="0" collapsed="false">
      <c r="A135" s="348" t="s">
        <v>315</v>
      </c>
      <c r="C135" s="309" t="n">
        <f aca="false">-C59</f>
        <v>996</v>
      </c>
      <c r="D135" s="309" t="n">
        <f aca="false">-D59</f>
        <v>898</v>
      </c>
      <c r="E135" s="309" t="n">
        <f aca="false">-E59</f>
        <v>988</v>
      </c>
      <c r="F135" s="309" t="n">
        <f aca="false">-F59</f>
        <v>1090</v>
      </c>
      <c r="G135" s="309" t="n">
        <f aca="false">-G59</f>
        <v>1099</v>
      </c>
      <c r="H135" s="309" t="n">
        <f aca="false">-H59</f>
        <v>1042</v>
      </c>
      <c r="I135" s="309" t="n">
        <f aca="false">-I59</f>
        <v>1022</v>
      </c>
      <c r="J135" s="309" t="n">
        <f aca="false">-J59</f>
        <v>1028</v>
      </c>
      <c r="K135" s="309" t="n">
        <f aca="false">-K59</f>
        <v>958</v>
      </c>
      <c r="L135" s="309" t="n">
        <f aca="false">-L59</f>
        <v>904</v>
      </c>
      <c r="M135" s="309" t="n">
        <f aca="false">-M59</f>
        <v>923</v>
      </c>
      <c r="N135" s="309" t="n">
        <f aca="false">-N59</f>
        <v>1054</v>
      </c>
      <c r="O135" s="309" t="n">
        <f aca="false">-O62</f>
        <v>-0</v>
      </c>
      <c r="P135" s="309" t="n">
        <f aca="false">-P62</f>
        <v>-0</v>
      </c>
    </row>
    <row r="136" customFormat="false" ht="12.75" hidden="false" customHeight="false" outlineLevel="0" collapsed="false">
      <c r="A136" s="348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</row>
    <row r="137" customFormat="false" ht="12.75" hidden="false" customHeight="false" outlineLevel="0" collapsed="false">
      <c r="A137" s="293" t="s">
        <v>316</v>
      </c>
      <c r="C137" s="308" t="n">
        <f aca="false">C133-C135</f>
        <v>0.565200000000004</v>
      </c>
      <c r="D137" s="308" t="n">
        <f aca="false">D133-D135</f>
        <v>13.5888</v>
      </c>
      <c r="E137" s="308" t="n">
        <f aca="false">E133-E135</f>
        <v>18.5496000000001</v>
      </c>
      <c r="F137" s="308" t="n">
        <f aca="false">F133-F135</f>
        <v>-255.3107</v>
      </c>
      <c r="G137" s="308" t="n">
        <f aca="false">G133-G135</f>
        <v>-232.2429</v>
      </c>
      <c r="H137" s="308" t="n">
        <f aca="false">H133-H135</f>
        <v>-177.739</v>
      </c>
      <c r="I137" s="308" t="n">
        <f aca="false">I133-I135</f>
        <v>-118.1829</v>
      </c>
      <c r="J137" s="308" t="n">
        <f aca="false">J133-J135</f>
        <v>-54.8900000000021</v>
      </c>
      <c r="K137" s="308" t="n">
        <f aca="false">K133-K135</f>
        <v>-48.1099999999981</v>
      </c>
      <c r="L137" s="308" t="n">
        <f aca="false">L133-L135</f>
        <v>-48.5700000000008</v>
      </c>
      <c r="M137" s="308" t="n">
        <f aca="false">M133-M135</f>
        <v>-53.6900000000015</v>
      </c>
      <c r="N137" s="308" t="n">
        <f aca="false">N133-N135</f>
        <v>-58.7466620000014</v>
      </c>
      <c r="O137" s="308" t="n">
        <f aca="false">O133-O135</f>
        <v>10987.221438</v>
      </c>
      <c r="P137" s="308" t="n">
        <f aca="false">P133-P135</f>
        <v>915.6</v>
      </c>
    </row>
    <row r="138" customFormat="false" ht="12.75" hidden="false" customHeight="false" outlineLevel="0" collapsed="false">
      <c r="P138" s="294"/>
    </row>
    <row r="139" customFormat="false" ht="12.75" hidden="false" customHeight="false" outlineLevel="0" collapsed="false">
      <c r="A139" s="349" t="s">
        <v>317</v>
      </c>
      <c r="B139" s="349"/>
      <c r="C139" s="350" t="n">
        <f aca="false">C75</f>
        <v>8.21</v>
      </c>
      <c r="D139" s="350" t="n">
        <f aca="false">D75</f>
        <v>5.62</v>
      </c>
      <c r="E139" s="350" t="n">
        <f aca="false">E75</f>
        <v>4.98</v>
      </c>
      <c r="F139" s="350" t="n">
        <f aca="false">F75</f>
        <v>4.87</v>
      </c>
      <c r="G139" s="350" t="n">
        <f aca="false">G75</f>
        <v>3.82</v>
      </c>
      <c r="H139" s="350" t="n">
        <f aca="false">H75</f>
        <v>3.19</v>
      </c>
      <c r="I139" s="350" t="n">
        <f aca="false">I75</f>
        <v>2.77</v>
      </c>
      <c r="J139" s="350" t="n">
        <f aca="false">J75</f>
        <v>2.77</v>
      </c>
      <c r="K139" s="350" t="n">
        <f aca="false">K75</f>
        <v>1.95</v>
      </c>
      <c r="L139" s="350" t="n">
        <f aca="false">L75</f>
        <v>2.28</v>
      </c>
      <c r="M139" s="350" t="n">
        <f aca="false">M75</f>
        <v>2.53</v>
      </c>
      <c r="N139" s="350" t="n">
        <f aca="false">N75</f>
        <v>2.85</v>
      </c>
      <c r="O139" s="350" t="n">
        <f aca="false">O75</f>
        <v>3.82</v>
      </c>
      <c r="P139" s="308" t="n">
        <f aca="false">P75</f>
        <v>0</v>
      </c>
    </row>
    <row r="140" customFormat="false" ht="12.75" hidden="false" customHeight="false" outlineLevel="0" collapsed="false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</row>
    <row r="141" customFormat="false" ht="12.75" hidden="false" customHeight="false" outlineLevel="0" collapsed="false">
      <c r="A141" s="293" t="s">
        <v>318</v>
      </c>
      <c r="C141" s="308" t="n">
        <f aca="false">C137*C139</f>
        <v>4.64029200000004</v>
      </c>
      <c r="D141" s="308" t="n">
        <f aca="false">D137*D139</f>
        <v>76.369056</v>
      </c>
      <c r="E141" s="308" t="n">
        <f aca="false">E137*E139</f>
        <v>92.3770080000003</v>
      </c>
      <c r="F141" s="308" t="n">
        <f aca="false">F137*F139</f>
        <v>-1243.363109</v>
      </c>
      <c r="G141" s="308" t="n">
        <f aca="false">G137*G139</f>
        <v>-887.167877999999</v>
      </c>
      <c r="H141" s="308" t="n">
        <f aca="false">H137*H139</f>
        <v>-566.98741</v>
      </c>
      <c r="I141" s="308" t="n">
        <f aca="false">I137*I139</f>
        <v>-327.366633</v>
      </c>
      <c r="J141" s="308" t="n">
        <f aca="false">J137*J139</f>
        <v>-152.045300000006</v>
      </c>
      <c r="K141" s="308" t="n">
        <f aca="false">K137*K139</f>
        <v>-93.8144999999963</v>
      </c>
      <c r="L141" s="308" t="n">
        <f aca="false">L137*L139</f>
        <v>-110.739600000002</v>
      </c>
      <c r="M141" s="308" t="n">
        <f aca="false">M137*M139</f>
        <v>-135.835700000004</v>
      </c>
      <c r="N141" s="308" t="n">
        <f aca="false">N137*N139</f>
        <v>-167.427986700004</v>
      </c>
      <c r="O141" s="308" t="n">
        <f aca="false">O137*O139</f>
        <v>41971.18589316</v>
      </c>
      <c r="P141" s="308" t="n">
        <f aca="false">P137*P139</f>
        <v>0</v>
      </c>
    </row>
    <row r="143" customFormat="false" ht="12.75" hidden="false" customHeight="false" outlineLevel="0" collapsed="false">
      <c r="A143" s="293" t="s">
        <v>319</v>
      </c>
      <c r="C143" s="293" t="n">
        <f aca="false">C132/(C128-C16)/C1</f>
        <v>0.0189065644780252</v>
      </c>
      <c r="D143" s="293" t="n">
        <f aca="false">D132/(D128-D16)/D1</f>
        <v>0.0193555801210425</v>
      </c>
      <c r="E143" s="293" t="n">
        <f aca="false">E132/(E128-E16)/E1</f>
        <v>0.0195360983102918</v>
      </c>
      <c r="F143" s="293" t="n">
        <f aca="false">F132/(F128-F16)/F1</f>
        <v>0.0136394216031016</v>
      </c>
      <c r="G143" s="293" t="n">
        <f aca="false">G132/(G128-G16)/G1</f>
        <v>0.014205290716105</v>
      </c>
      <c r="H143" s="293" t="n">
        <f aca="false">H132/(H128-H16)/H1</f>
        <v>0.0152182962245886</v>
      </c>
      <c r="I143" s="293" t="n">
        <f aca="false">I132/(I128-I16)/I1</f>
        <v>0.0166333261005835</v>
      </c>
      <c r="J143" s="293" t="n">
        <f aca="false">J132/(J128-J16)/J1</f>
        <v>0.0180000329235914</v>
      </c>
      <c r="K143" s="293" t="n">
        <f aca="false">K132/(K128-K16)/K1</f>
        <v>0.0180000491207388</v>
      </c>
      <c r="L143" s="293" t="n">
        <f aca="false">L132/(L128-L16)/L1</f>
        <v>0.0180000840155348</v>
      </c>
      <c r="M143" s="293" t="n">
        <f aca="false">M132/(M128-M16)/M1</f>
        <v>0.0179998795125535</v>
      </c>
      <c r="N143" s="293" t="n">
        <f aca="false">N132/(N128-N16)/N1</f>
        <v>0.0179999896783563</v>
      </c>
      <c r="O143" s="293" t="n">
        <f aca="false">O132/(O128-O16)/O1</f>
        <v>0.000951022125506795</v>
      </c>
    </row>
    <row r="145" customFormat="false" ht="12.75" hidden="false" customHeight="false" outlineLevel="0" collapsed="false">
      <c r="A145" s="293" t="s">
        <v>320</v>
      </c>
      <c r="C145" s="293" t="n">
        <v>994</v>
      </c>
      <c r="D145" s="293" t="n">
        <v>905</v>
      </c>
      <c r="E145" s="293" t="n">
        <v>1026</v>
      </c>
      <c r="F145" s="293" t="n">
        <v>848</v>
      </c>
      <c r="G145" s="293" t="n">
        <v>905</v>
      </c>
    </row>
  </sheetData>
  <printOptions headings="false" gridLines="false" gridLinesSet="true" horizontalCentered="false" verticalCentered="false"/>
  <pageMargins left="0.747916666666667" right="0.747916666666667" top="0.659722222222222" bottom="0.209722222222222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E2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4" activeCellId="0" sqref="C74"/>
    </sheetView>
  </sheetViews>
  <sheetFormatPr defaultColWidth="15.9921875" defaultRowHeight="12.75" customHeight="true" zeroHeight="false" outlineLevelRow="0" outlineLevelCol="0"/>
  <cols>
    <col collapsed="false" customWidth="true" hidden="false" outlineLevel="0" max="1" min="1" style="294" width="46.59"/>
    <col collapsed="false" customWidth="false" hidden="false" outlineLevel="0" max="3" min="2" style="351" width="15.99"/>
    <col collapsed="false" customWidth="false" hidden="false" outlineLevel="0" max="257" min="4" style="294" width="15.99"/>
  </cols>
  <sheetData>
    <row r="6" customFormat="false" ht="12.75" hidden="false" customHeight="false" outlineLevel="0" collapsed="false">
      <c r="B6" s="352" t="s">
        <v>321</v>
      </c>
      <c r="C6" s="352" t="s">
        <v>322</v>
      </c>
    </row>
    <row r="7" customFormat="false" ht="15.75" hidden="false" customHeight="false" outlineLevel="0" collapsed="false">
      <c r="A7" s="88" t="s">
        <v>108</v>
      </c>
    </row>
    <row r="8" customFormat="false" ht="15.75" hidden="false" customHeight="false" outlineLevel="0" collapsed="false">
      <c r="A8" s="91" t="s">
        <v>11</v>
      </c>
    </row>
    <row r="9" customFormat="false" ht="12.75" hidden="false" customHeight="false" outlineLevel="0" collapsed="false">
      <c r="A9" s="92" t="s">
        <v>109</v>
      </c>
    </row>
    <row r="10" customFormat="false" ht="12.75" hidden="false" customHeight="false" outlineLevel="0" collapsed="false">
      <c r="A10" s="95" t="s">
        <v>14</v>
      </c>
      <c r="B10" s="351" t="n">
        <v>268</v>
      </c>
      <c r="C10" s="351" t="n">
        <f aca="false">Forecast01!N14</f>
        <v>261.45</v>
      </c>
      <c r="D10" s="306" t="n">
        <f aca="false">C10-B10</f>
        <v>-6.55000000000001</v>
      </c>
    </row>
    <row r="11" customFormat="false" ht="12.75" hidden="false" customHeight="false" outlineLevel="0" collapsed="false">
      <c r="A11" s="95" t="s">
        <v>110</v>
      </c>
      <c r="B11" s="351" t="n">
        <v>296.5</v>
      </c>
      <c r="C11" s="351" t="n">
        <f aca="false">Forecast01!N15</f>
        <v>361.482928315412</v>
      </c>
      <c r="D11" s="306" t="n">
        <f aca="false">C11-B11</f>
        <v>64.9829283154122</v>
      </c>
    </row>
    <row r="12" customFormat="false" ht="12.75" hidden="false" customHeight="false" outlineLevel="0" collapsed="false">
      <c r="A12" s="95" t="s">
        <v>111</v>
      </c>
      <c r="B12" s="351" t="n">
        <v>24</v>
      </c>
      <c r="C12" s="351" t="n">
        <f aca="false">Forecast01!N16</f>
        <v>43.5523333333333</v>
      </c>
      <c r="D12" s="306" t="n">
        <f aca="false">C12-B12</f>
        <v>19.5523333333333</v>
      </c>
    </row>
    <row r="13" customFormat="false" ht="12.75" hidden="false" customHeight="false" outlineLevel="0" collapsed="false">
      <c r="A13" s="95" t="s">
        <v>112</v>
      </c>
      <c r="B13" s="351" t="n">
        <v>0.1</v>
      </c>
      <c r="C13" s="351" t="n">
        <f aca="false">Forecast01!N17</f>
        <v>39.25025</v>
      </c>
      <c r="D13" s="306" t="n">
        <f aca="false">C13-B13</f>
        <v>39.15025</v>
      </c>
    </row>
    <row r="14" customFormat="false" ht="12.75" hidden="false" customHeight="false" outlineLevel="0" collapsed="false">
      <c r="A14" s="92" t="s">
        <v>23</v>
      </c>
      <c r="B14" s="351" t="n">
        <v>320.6</v>
      </c>
      <c r="C14" s="351" t="n">
        <f aca="false">Forecast01!N18</f>
        <v>444.285511648746</v>
      </c>
      <c r="D14" s="306" t="n">
        <f aca="false">C14-B14</f>
        <v>123.685511648745</v>
      </c>
    </row>
    <row r="15" customFormat="false" ht="12.75" hidden="false" customHeight="false" outlineLevel="0" collapsed="false">
      <c r="A15" s="92"/>
    </row>
    <row r="16" customFormat="false" ht="12.75" hidden="false" customHeight="false" outlineLevel="0" collapsed="false">
      <c r="A16" s="92" t="s">
        <v>113</v>
      </c>
    </row>
    <row r="17" customFormat="false" ht="12.75" hidden="false" customHeight="false" outlineLevel="0" collapsed="false">
      <c r="A17" s="95" t="s">
        <v>14</v>
      </c>
      <c r="B17" s="351" t="n">
        <v>587.4</v>
      </c>
      <c r="C17" s="351" t="n">
        <f aca="false">Forecast01!N21</f>
        <v>588.76175</v>
      </c>
      <c r="D17" s="306" t="n">
        <f aca="false">C17-B17</f>
        <v>1.36175000000003</v>
      </c>
    </row>
    <row r="18" customFormat="false" ht="12.75" hidden="false" customHeight="false" outlineLevel="0" collapsed="false">
      <c r="A18" s="95" t="s">
        <v>110</v>
      </c>
      <c r="B18" s="351" t="n">
        <v>397.9</v>
      </c>
      <c r="C18" s="351" t="n">
        <f aca="false">Forecast01!N22</f>
        <v>372.513666666667</v>
      </c>
      <c r="D18" s="306" t="n">
        <f aca="false">C18-B18</f>
        <v>-25.3863333333333</v>
      </c>
    </row>
    <row r="19" customFormat="false" ht="12.75" hidden="false" customHeight="false" outlineLevel="0" collapsed="false">
      <c r="A19" s="95" t="s">
        <v>111</v>
      </c>
      <c r="B19" s="351" t="n">
        <v>2.5</v>
      </c>
      <c r="C19" s="351" t="n">
        <f aca="false">Forecast01!N23</f>
        <v>4.85075</v>
      </c>
      <c r="D19" s="306" t="n">
        <f aca="false">C19-B19</f>
        <v>2.35075</v>
      </c>
    </row>
    <row r="20" customFormat="false" ht="12.75" hidden="false" customHeight="false" outlineLevel="0" collapsed="false">
      <c r="A20" s="95" t="s">
        <v>114</v>
      </c>
      <c r="B20" s="351" t="n">
        <v>0.1</v>
      </c>
      <c r="C20" s="351" t="n">
        <f aca="false">Forecast01!N24</f>
        <v>12.9148333333333</v>
      </c>
      <c r="D20" s="306" t="n">
        <f aca="false">C20-B20</f>
        <v>12.8148333333333</v>
      </c>
    </row>
    <row r="21" customFormat="false" ht="12.75" hidden="false" customHeight="false" outlineLevel="0" collapsed="false">
      <c r="A21" s="92" t="s">
        <v>26</v>
      </c>
      <c r="B21" s="351" t="n">
        <v>400.5</v>
      </c>
      <c r="C21" s="351" t="n">
        <f aca="false">Forecast01!N25</f>
        <v>390.27925</v>
      </c>
      <c r="D21" s="306" t="n">
        <f aca="false">C21-B21</f>
        <v>-10.22075</v>
      </c>
    </row>
    <row r="22" customFormat="false" ht="12.75" hidden="false" customHeight="false" outlineLevel="0" collapsed="false">
      <c r="A22" s="92"/>
    </row>
    <row r="23" customFormat="false" ht="12.75" hidden="false" customHeight="false" outlineLevel="0" collapsed="false">
      <c r="A23" s="92" t="s">
        <v>27</v>
      </c>
    </row>
    <row r="24" customFormat="false" ht="12.75" hidden="false" customHeight="false" outlineLevel="0" collapsed="false">
      <c r="A24" s="95" t="s">
        <v>14</v>
      </c>
      <c r="B24" s="351" t="n">
        <v>60</v>
      </c>
      <c r="C24" s="351" t="n">
        <f aca="false">Forecast01!N28</f>
        <v>59.3333333333333</v>
      </c>
      <c r="D24" s="306" t="n">
        <f aca="false">C24-B24</f>
        <v>-0.666666666666664</v>
      </c>
    </row>
    <row r="25" customFormat="false" ht="12.75" hidden="false" customHeight="false" outlineLevel="0" collapsed="false">
      <c r="A25" s="95" t="s">
        <v>110</v>
      </c>
      <c r="B25" s="351" t="n">
        <v>54.5</v>
      </c>
      <c r="C25" s="351" t="n">
        <f aca="false">Forecast01!N29</f>
        <v>54.5324166666667</v>
      </c>
      <c r="D25" s="306" t="n">
        <f aca="false">C25-B25</f>
        <v>0.0324166666666699</v>
      </c>
    </row>
    <row r="26" customFormat="false" ht="12.75" hidden="false" customHeight="false" outlineLevel="0" collapsed="false">
      <c r="A26" s="107"/>
      <c r="C26" s="351" t="n">
        <f aca="false">Forecast01!N30</f>
        <v>0</v>
      </c>
      <c r="D26" s="306" t="n">
        <f aca="false">C26-B26</f>
        <v>0</v>
      </c>
    </row>
    <row r="27" customFormat="false" ht="12.75" hidden="false" customHeight="false" outlineLevel="0" collapsed="false">
      <c r="A27" s="95" t="s">
        <v>114</v>
      </c>
      <c r="B27" s="351" t="n">
        <v>0</v>
      </c>
      <c r="C27" s="351" t="n">
        <f aca="false">Forecast01!N31</f>
        <v>0</v>
      </c>
      <c r="D27" s="306" t="n">
        <f aca="false">C27-B27</f>
        <v>0</v>
      </c>
    </row>
    <row r="28" customFormat="false" ht="12.75" hidden="false" customHeight="false" outlineLevel="0" collapsed="false">
      <c r="A28" s="92" t="s">
        <v>28</v>
      </c>
      <c r="B28" s="351" t="n">
        <v>54.5</v>
      </c>
      <c r="C28" s="351" t="n">
        <f aca="false">Forecast01!N32</f>
        <v>54.5324166666667</v>
      </c>
      <c r="D28" s="306" t="n">
        <f aca="false">C28-B28</f>
        <v>0.0324166666666699</v>
      </c>
    </row>
    <row r="29" customFormat="false" ht="12.75" hidden="false" customHeight="false" outlineLevel="0" collapsed="false">
      <c r="A29" s="92"/>
    </row>
    <row r="30" customFormat="false" ht="12.75" hidden="false" customHeight="false" outlineLevel="0" collapsed="false">
      <c r="A30" s="92" t="s">
        <v>115</v>
      </c>
    </row>
    <row r="31" customFormat="false" ht="12.75" hidden="false" customHeight="false" outlineLevel="0" collapsed="false">
      <c r="A31" s="95" t="s">
        <v>14</v>
      </c>
      <c r="B31" s="351" t="n">
        <v>142</v>
      </c>
      <c r="C31" s="351" t="n">
        <f aca="false">Forecast01!N35</f>
        <v>188.358333333333</v>
      </c>
      <c r="D31" s="306" t="n">
        <f aca="false">C31-B31</f>
        <v>46.3583333333333</v>
      </c>
    </row>
    <row r="32" customFormat="false" ht="12.75" hidden="false" customHeight="false" outlineLevel="0" collapsed="false">
      <c r="A32" s="95" t="s">
        <v>110</v>
      </c>
      <c r="B32" s="351" t="n">
        <v>120.8</v>
      </c>
      <c r="C32" s="351" t="n">
        <f aca="false">Forecast01!N36</f>
        <v>178.782583333333</v>
      </c>
      <c r="D32" s="306" t="n">
        <f aca="false">C32-B32</f>
        <v>57.9825833333334</v>
      </c>
    </row>
    <row r="33" customFormat="false" ht="12.75" hidden="false" customHeight="false" outlineLevel="0" collapsed="false">
      <c r="A33" s="95" t="s">
        <v>111</v>
      </c>
      <c r="B33" s="351" t="n">
        <v>0</v>
      </c>
      <c r="C33" s="351" t="n">
        <f aca="false">Forecast01!N37</f>
        <v>0</v>
      </c>
      <c r="D33" s="306" t="n">
        <f aca="false">C33-B33</f>
        <v>0</v>
      </c>
    </row>
    <row r="34" customFormat="false" ht="12.75" hidden="false" customHeight="false" outlineLevel="0" collapsed="false">
      <c r="A34" s="95" t="s">
        <v>30</v>
      </c>
      <c r="B34" s="351" t="n">
        <v>0</v>
      </c>
      <c r="C34" s="351" t="n">
        <f aca="false">Forecast01!N38</f>
        <v>0.1075</v>
      </c>
      <c r="D34" s="306" t="n">
        <f aca="false">C34-B34</f>
        <v>0.1075</v>
      </c>
    </row>
    <row r="35" customFormat="false" ht="12.75" hidden="false" customHeight="false" outlineLevel="0" collapsed="false">
      <c r="A35" s="95" t="s">
        <v>114</v>
      </c>
      <c r="B35" s="351" t="n">
        <v>0.1</v>
      </c>
      <c r="C35" s="351" t="n">
        <f aca="false">Forecast01!N39</f>
        <v>-0.716666666666667</v>
      </c>
      <c r="D35" s="306" t="n">
        <f aca="false">C35-B35</f>
        <v>-0.816666666666667</v>
      </c>
    </row>
    <row r="36" customFormat="false" ht="12.75" hidden="false" customHeight="false" outlineLevel="0" collapsed="false">
      <c r="A36" s="92" t="s">
        <v>31</v>
      </c>
      <c r="B36" s="353" t="n">
        <v>121</v>
      </c>
      <c r="C36" s="353" t="n">
        <f aca="false">Forecast01!N40</f>
        <v>178.173416666667</v>
      </c>
      <c r="D36" s="354" t="n">
        <f aca="false">C36-B36</f>
        <v>57.1734166666667</v>
      </c>
    </row>
    <row r="37" customFormat="false" ht="12.75" hidden="false" customHeight="false" outlineLevel="0" collapsed="false">
      <c r="A37" s="110" t="s">
        <v>116</v>
      </c>
      <c r="B37" s="355" t="n">
        <v>896.6</v>
      </c>
      <c r="C37" s="355" t="n">
        <f aca="false">Forecast01!N41</f>
        <v>1067.27059498208</v>
      </c>
      <c r="D37" s="356" t="n">
        <f aca="false">C37-B37</f>
        <v>170.670594982079</v>
      </c>
    </row>
    <row r="38" customFormat="false" ht="12.75" hidden="false" customHeight="false" outlineLevel="0" collapsed="false">
      <c r="A38" s="110" t="s">
        <v>117</v>
      </c>
      <c r="B38" s="355" t="n">
        <v>1057.4</v>
      </c>
      <c r="C38" s="355" t="n">
        <f aca="false">Forecast01!N42</f>
        <v>1097.90341666667</v>
      </c>
      <c r="D38" s="356" t="n">
        <f aca="false">C38-B38</f>
        <v>40.5034166666665</v>
      </c>
    </row>
    <row r="39" customFormat="false" ht="12.75" hidden="false" customHeight="false" outlineLevel="0" collapsed="false">
      <c r="A39" s="113"/>
    </row>
    <row r="40" customFormat="false" ht="15.75" hidden="false" customHeight="false" outlineLevel="0" collapsed="false">
      <c r="A40" s="91" t="s">
        <v>35</v>
      </c>
    </row>
    <row r="41" customFormat="false" ht="12.75" hidden="false" customHeight="false" outlineLevel="0" collapsed="false">
      <c r="A41" s="92" t="s">
        <v>36</v>
      </c>
    </row>
    <row r="42" customFormat="false" ht="12.75" hidden="false" customHeight="false" outlineLevel="0" collapsed="false">
      <c r="A42" s="95" t="s">
        <v>14</v>
      </c>
      <c r="B42" s="351" t="n">
        <v>12.3</v>
      </c>
      <c r="C42" s="351" t="n">
        <f aca="false">Forecast01!N46</f>
        <v>59.3583333333333</v>
      </c>
      <c r="D42" s="306" t="n">
        <f aca="false">C42-B42</f>
        <v>47.0583333333333</v>
      </c>
    </row>
    <row r="43" customFormat="false" ht="12.75" hidden="false" customHeight="false" outlineLevel="0" collapsed="false">
      <c r="A43" s="95" t="s">
        <v>110</v>
      </c>
      <c r="B43" s="351" t="n">
        <v>6.3</v>
      </c>
      <c r="C43" s="351" t="n">
        <f aca="false">Forecast01!N47</f>
        <v>6.95358333333333</v>
      </c>
      <c r="D43" s="306" t="n">
        <f aca="false">C43-B43</f>
        <v>0.653583333333334</v>
      </c>
    </row>
    <row r="44" customFormat="false" ht="12.75" hidden="false" customHeight="false" outlineLevel="0" collapsed="false">
      <c r="A44" s="95" t="s">
        <v>111</v>
      </c>
      <c r="B44" s="351" t="n">
        <v>0</v>
      </c>
      <c r="C44" s="351" t="n">
        <f aca="false">Forecast01!N48</f>
        <v>0</v>
      </c>
      <c r="D44" s="306" t="n">
        <f aca="false">C44-B44</f>
        <v>0</v>
      </c>
    </row>
    <row r="45" customFormat="false" ht="12.75" hidden="false" customHeight="false" outlineLevel="0" collapsed="false">
      <c r="A45" s="95" t="s">
        <v>114</v>
      </c>
      <c r="B45" s="351" t="n">
        <v>1.1</v>
      </c>
      <c r="C45" s="351" t="n">
        <f aca="false">Forecast01!N49</f>
        <v>1.47</v>
      </c>
      <c r="D45" s="306" t="n">
        <f aca="false">C45-B45</f>
        <v>0.37</v>
      </c>
    </row>
    <row r="46" customFormat="false" ht="12.75" hidden="false" customHeight="false" outlineLevel="0" collapsed="false">
      <c r="A46" s="92" t="s">
        <v>37</v>
      </c>
      <c r="B46" s="351" t="n">
        <v>7.4</v>
      </c>
      <c r="C46" s="351" t="n">
        <f aca="false">Forecast01!N50</f>
        <v>8.42358333333333</v>
      </c>
      <c r="D46" s="306" t="n">
        <f aca="false">C46-B46</f>
        <v>1.02358333333333</v>
      </c>
    </row>
    <row r="47" customFormat="false" ht="12.75" hidden="false" customHeight="false" outlineLevel="0" collapsed="false">
      <c r="A47" s="92"/>
    </row>
    <row r="48" customFormat="false" ht="12.75" hidden="false" customHeight="false" outlineLevel="0" collapsed="false">
      <c r="A48" s="92" t="s">
        <v>38</v>
      </c>
    </row>
    <row r="49" customFormat="false" ht="12.75" hidden="false" customHeight="false" outlineLevel="0" collapsed="false">
      <c r="A49" s="95" t="s">
        <v>14</v>
      </c>
      <c r="B49" s="351" t="n">
        <v>454.2</v>
      </c>
      <c r="C49" s="351" t="n">
        <f aca="false">Forecast01!N53</f>
        <v>592.698333333333</v>
      </c>
      <c r="D49" s="306" t="n">
        <f aca="false">C49-B49</f>
        <v>138.498333333333</v>
      </c>
    </row>
    <row r="50" customFormat="false" ht="12.75" hidden="false" customHeight="false" outlineLevel="0" collapsed="false">
      <c r="A50" s="95" t="s">
        <v>110</v>
      </c>
      <c r="B50" s="351" t="n">
        <v>235.3</v>
      </c>
      <c r="C50" s="351" t="n">
        <f aca="false">Forecast01!N54</f>
        <v>277.811466833333</v>
      </c>
      <c r="D50" s="306" t="n">
        <f aca="false">C50-B50</f>
        <v>42.5114668333333</v>
      </c>
    </row>
    <row r="51" customFormat="false" ht="12.75" hidden="false" customHeight="false" outlineLevel="0" collapsed="false">
      <c r="A51" s="95" t="s">
        <v>111</v>
      </c>
      <c r="B51" s="351" t="n">
        <v>0</v>
      </c>
      <c r="C51" s="351" t="n">
        <f aca="false">Forecast01!N55</f>
        <v>0</v>
      </c>
      <c r="D51" s="306" t="n">
        <f aca="false">C51-B51</f>
        <v>0</v>
      </c>
    </row>
    <row r="52" customFormat="false" ht="12.75" hidden="false" customHeight="false" outlineLevel="0" collapsed="false">
      <c r="A52" s="95" t="s">
        <v>39</v>
      </c>
      <c r="B52" s="351" t="n">
        <v>0</v>
      </c>
      <c r="C52" s="351" t="n">
        <f aca="false">Forecast01!N56</f>
        <v>0.0993333333333333</v>
      </c>
      <c r="D52" s="306" t="n">
        <f aca="false">C52-B52</f>
        <v>0.0993333333333333</v>
      </c>
    </row>
    <row r="53" customFormat="false" ht="12.75" hidden="false" customHeight="false" outlineLevel="0" collapsed="false">
      <c r="A53" s="95" t="s">
        <v>114</v>
      </c>
      <c r="B53" s="351" t="n">
        <v>30.3</v>
      </c>
      <c r="C53" s="351" t="n">
        <f aca="false">Forecast01!N57</f>
        <v>24.2385</v>
      </c>
      <c r="D53" s="306" t="n">
        <f aca="false">C53-B53</f>
        <v>-6.0615</v>
      </c>
    </row>
    <row r="54" customFormat="false" ht="12.75" hidden="false" customHeight="false" outlineLevel="0" collapsed="false">
      <c r="A54" s="92" t="s">
        <v>40</v>
      </c>
      <c r="B54" s="351" t="n">
        <v>265.6</v>
      </c>
      <c r="C54" s="351" t="n">
        <f aca="false">Forecast01!N58</f>
        <v>302.149300166667</v>
      </c>
      <c r="D54" s="306" t="n">
        <f aca="false">C54-B54</f>
        <v>36.5493001666666</v>
      </c>
    </row>
    <row r="55" customFormat="false" ht="12.75" hidden="false" customHeight="false" outlineLevel="0" collapsed="false">
      <c r="A55" s="92"/>
    </row>
    <row r="56" customFormat="false" ht="12.75" hidden="false" customHeight="false" outlineLevel="0" collapsed="false">
      <c r="A56" s="92" t="s">
        <v>41</v>
      </c>
    </row>
    <row r="57" customFormat="false" ht="12.75" hidden="false" customHeight="false" outlineLevel="0" collapsed="false">
      <c r="A57" s="95" t="s">
        <v>14</v>
      </c>
      <c r="B57" s="351" t="n">
        <v>40</v>
      </c>
      <c r="C57" s="351" t="n">
        <f aca="false">Forecast01!N61</f>
        <v>40</v>
      </c>
      <c r="D57" s="306" t="n">
        <f aca="false">C57-B57</f>
        <v>0</v>
      </c>
    </row>
    <row r="58" customFormat="false" ht="12.75" hidden="false" customHeight="false" outlineLevel="0" collapsed="false">
      <c r="A58" s="95" t="s">
        <v>110</v>
      </c>
      <c r="B58" s="351" t="n">
        <v>27.4</v>
      </c>
      <c r="C58" s="351" t="n">
        <f aca="false">Forecast01!N62</f>
        <v>24.16</v>
      </c>
      <c r="D58" s="306" t="n">
        <f aca="false">C58-B58</f>
        <v>-3.24</v>
      </c>
    </row>
    <row r="59" customFormat="false" ht="12.75" hidden="false" customHeight="false" outlineLevel="0" collapsed="false">
      <c r="A59" s="95" t="s">
        <v>111</v>
      </c>
      <c r="B59" s="351" t="n">
        <v>0</v>
      </c>
      <c r="C59" s="351" t="n">
        <f aca="false">Forecast01!N63</f>
        <v>0</v>
      </c>
      <c r="D59" s="306" t="n">
        <f aca="false">C59-B59</f>
        <v>0</v>
      </c>
    </row>
    <row r="60" customFormat="false" ht="12.75" hidden="false" customHeight="false" outlineLevel="0" collapsed="false">
      <c r="A60" s="95" t="s">
        <v>114</v>
      </c>
      <c r="B60" s="351" t="n">
        <v>0.1</v>
      </c>
      <c r="C60" s="351" t="n">
        <f aca="false">Forecast01!N64</f>
        <v>1.37658333333333</v>
      </c>
      <c r="D60" s="306" t="n">
        <f aca="false">C60-B60</f>
        <v>1.27658333333333</v>
      </c>
    </row>
    <row r="61" customFormat="false" ht="12.75" hidden="false" customHeight="false" outlineLevel="0" collapsed="false">
      <c r="A61" s="92" t="s">
        <v>42</v>
      </c>
      <c r="B61" s="351" t="n">
        <v>27.6</v>
      </c>
      <c r="C61" s="351" t="n">
        <f aca="false">Forecast01!N65</f>
        <v>25.5365833333333</v>
      </c>
      <c r="D61" s="306" t="n">
        <f aca="false">C61-B61</f>
        <v>-2.06341666666667</v>
      </c>
    </row>
    <row r="62" customFormat="false" ht="12.75" hidden="false" customHeight="false" outlineLevel="0" collapsed="false">
      <c r="A62" s="92"/>
    </row>
    <row r="63" customFormat="false" ht="12.75" hidden="false" customHeight="false" outlineLevel="0" collapsed="false">
      <c r="A63" s="92" t="s">
        <v>43</v>
      </c>
    </row>
    <row r="64" customFormat="false" ht="12.75" hidden="false" customHeight="false" outlineLevel="0" collapsed="false">
      <c r="A64" s="95" t="s">
        <v>14</v>
      </c>
      <c r="B64" s="351" t="n">
        <v>118.6</v>
      </c>
      <c r="C64" s="351" t="n">
        <f aca="false">Forecast01!N68</f>
        <v>99.1666666666667</v>
      </c>
      <c r="D64" s="306" t="n">
        <f aca="false">C64-B64</f>
        <v>-19.4333333333333</v>
      </c>
    </row>
    <row r="65" customFormat="false" ht="12.75" hidden="false" customHeight="false" outlineLevel="0" collapsed="false">
      <c r="A65" s="95" t="s">
        <v>110</v>
      </c>
      <c r="B65" s="351" t="n">
        <v>106.9</v>
      </c>
      <c r="C65" s="351" t="n">
        <f aca="false">Forecast01!N69</f>
        <v>96.8890833333334</v>
      </c>
      <c r="D65" s="306" t="n">
        <f aca="false">C65-B65</f>
        <v>-10.0109166666667</v>
      </c>
    </row>
    <row r="66" customFormat="false" ht="12.75" hidden="false" customHeight="false" outlineLevel="0" collapsed="false">
      <c r="A66" s="95" t="s">
        <v>111</v>
      </c>
      <c r="B66" s="351" t="n">
        <v>0</v>
      </c>
      <c r="C66" s="351" t="n">
        <f aca="false">Forecast01!N70</f>
        <v>0</v>
      </c>
      <c r="D66" s="306" t="n">
        <f aca="false">C66-B66</f>
        <v>0</v>
      </c>
    </row>
    <row r="67" customFormat="false" ht="12.75" hidden="false" customHeight="false" outlineLevel="0" collapsed="false">
      <c r="A67" s="95" t="s">
        <v>114</v>
      </c>
      <c r="B67" s="351" t="n">
        <v>3</v>
      </c>
      <c r="C67" s="351" t="n">
        <f aca="false">Forecast01!N71</f>
        <v>5.01116666666667</v>
      </c>
      <c r="D67" s="306" t="n">
        <f aca="false">C67-B67</f>
        <v>2.01116666666667</v>
      </c>
    </row>
    <row r="68" customFormat="false" ht="12.75" hidden="false" customHeight="false" outlineLevel="0" collapsed="false">
      <c r="A68" s="92" t="s">
        <v>44</v>
      </c>
      <c r="B68" s="353" t="n">
        <v>109.9</v>
      </c>
      <c r="C68" s="353" t="n">
        <f aca="false">Forecast01!N72</f>
        <v>101.90025</v>
      </c>
      <c r="D68" s="354" t="n">
        <f aca="false">C68-B68</f>
        <v>-7.99974999999999</v>
      </c>
    </row>
    <row r="69" customFormat="false" ht="12.75" hidden="false" customHeight="false" outlineLevel="0" collapsed="false">
      <c r="A69" s="110" t="s">
        <v>119</v>
      </c>
      <c r="B69" s="355" t="n">
        <v>410.4</v>
      </c>
      <c r="C69" s="355" t="n">
        <f aca="false">Forecast01!N73</f>
        <v>438.009716833333</v>
      </c>
      <c r="D69" s="356" t="n">
        <f aca="false">C69-B69</f>
        <v>27.6097168333334</v>
      </c>
    </row>
    <row r="70" customFormat="false" ht="12.75" hidden="false" customHeight="false" outlineLevel="0" collapsed="false">
      <c r="A70" s="110" t="s">
        <v>120</v>
      </c>
      <c r="B70" s="355" t="n">
        <v>625.1</v>
      </c>
      <c r="C70" s="355" t="n">
        <f aca="false">Forecast01!N74</f>
        <v>791.223333333333</v>
      </c>
      <c r="D70" s="356" t="n">
        <f aca="false">C70-B70</f>
        <v>166.123333333333</v>
      </c>
    </row>
    <row r="71" customFormat="false" ht="12.75" hidden="false" customHeight="false" outlineLevel="0" collapsed="false">
      <c r="A71" s="92"/>
    </row>
    <row r="72" customFormat="false" ht="15.75" hidden="false" customHeight="false" outlineLevel="0" collapsed="false">
      <c r="A72" s="91" t="s">
        <v>48</v>
      </c>
    </row>
    <row r="73" customFormat="false" ht="12.75" hidden="false" customHeight="false" outlineLevel="0" collapsed="false">
      <c r="A73" s="92" t="s">
        <v>49</v>
      </c>
    </row>
    <row r="74" customFormat="false" ht="12.75" hidden="false" customHeight="false" outlineLevel="0" collapsed="false">
      <c r="A74" s="95" t="s">
        <v>121</v>
      </c>
      <c r="B74" s="351" t="n">
        <v>340.7</v>
      </c>
      <c r="C74" s="351" t="n">
        <f aca="false">Forecast01!N78</f>
        <v>278.3</v>
      </c>
      <c r="D74" s="306" t="n">
        <f aca="false">C74-B74</f>
        <v>-62.4</v>
      </c>
    </row>
    <row r="75" customFormat="false" ht="12.75" hidden="false" customHeight="false" outlineLevel="0" collapsed="false">
      <c r="A75" s="95" t="s">
        <v>18</v>
      </c>
      <c r="B75" s="351" t="n">
        <v>250.5</v>
      </c>
      <c r="C75" s="351" t="n">
        <f aca="false">Forecast01!N79</f>
        <v>223.461666666667</v>
      </c>
      <c r="D75" s="306" t="n">
        <f aca="false">C75-B75</f>
        <v>-27.0383333333333</v>
      </c>
    </row>
    <row r="76" customFormat="false" ht="12.75" hidden="false" customHeight="false" outlineLevel="0" collapsed="false">
      <c r="A76" s="95" t="s">
        <v>111</v>
      </c>
      <c r="B76" s="351" t="n">
        <v>2.5</v>
      </c>
      <c r="C76" s="351" t="n">
        <f aca="false">Forecast01!N80</f>
        <v>2.476</v>
      </c>
      <c r="D76" s="306" t="n">
        <f aca="false">C76-B76</f>
        <v>-0.024</v>
      </c>
    </row>
    <row r="77" customFormat="false" ht="12.75" hidden="false" customHeight="false" outlineLevel="0" collapsed="false">
      <c r="A77" s="95" t="s">
        <v>22</v>
      </c>
      <c r="B77" s="351" t="n">
        <v>14.2</v>
      </c>
      <c r="C77" s="351" t="n">
        <f aca="false">Forecast01!N81</f>
        <v>33.5081666666667</v>
      </c>
      <c r="D77" s="306" t="n">
        <f aca="false">C77-B77</f>
        <v>19.3081666666667</v>
      </c>
    </row>
    <row r="78" customFormat="false" ht="12.75" hidden="false" customHeight="false" outlineLevel="0" collapsed="false">
      <c r="A78" s="92" t="s">
        <v>50</v>
      </c>
      <c r="B78" s="351" t="n">
        <v>267.2</v>
      </c>
      <c r="C78" s="351" t="n">
        <f aca="false">Forecast01!N82</f>
        <v>259.445833333333</v>
      </c>
      <c r="D78" s="306" t="n">
        <f aca="false">C78-B78</f>
        <v>-7.75416666666666</v>
      </c>
    </row>
    <row r="79" customFormat="false" ht="12.75" hidden="false" customHeight="false" outlineLevel="0" collapsed="false">
      <c r="A79" s="92"/>
    </row>
    <row r="80" customFormat="false" ht="12.75" hidden="false" customHeight="false" outlineLevel="0" collapsed="false">
      <c r="A80" s="92" t="s">
        <v>51</v>
      </c>
    </row>
    <row r="81" customFormat="false" ht="12.75" hidden="false" customHeight="false" outlineLevel="0" collapsed="false">
      <c r="A81" s="95" t="s">
        <v>121</v>
      </c>
      <c r="B81" s="351" t="n">
        <v>187.2</v>
      </c>
      <c r="C81" s="351" t="n">
        <f aca="false">Forecast01!N85</f>
        <v>289.02325</v>
      </c>
      <c r="D81" s="306" t="n">
        <f aca="false">C81-B81</f>
        <v>101.82325</v>
      </c>
    </row>
    <row r="82" customFormat="false" ht="12.75" hidden="false" customHeight="false" outlineLevel="0" collapsed="false">
      <c r="A82" s="95" t="s">
        <v>18</v>
      </c>
      <c r="B82" s="351" t="n">
        <v>164.8</v>
      </c>
      <c r="C82" s="351" t="n">
        <f aca="false">Forecast01!N86</f>
        <v>243.426458333333</v>
      </c>
      <c r="D82" s="306" t="n">
        <f aca="false">C82-B82</f>
        <v>78.6264583333333</v>
      </c>
    </row>
    <row r="83" customFormat="false" ht="12.75" hidden="false" customHeight="false" outlineLevel="0" collapsed="false">
      <c r="A83" s="95" t="s">
        <v>111</v>
      </c>
      <c r="B83" s="351" t="n">
        <v>0</v>
      </c>
      <c r="C83" s="351" t="n">
        <f aca="false">Forecast01!N87</f>
        <v>0</v>
      </c>
      <c r="D83" s="306" t="n">
        <f aca="false">C83-B83</f>
        <v>0</v>
      </c>
    </row>
    <row r="84" customFormat="false" ht="12.75" hidden="false" customHeight="false" outlineLevel="0" collapsed="false">
      <c r="A84" s="95" t="s">
        <v>22</v>
      </c>
      <c r="B84" s="351" t="n">
        <v>62.7</v>
      </c>
      <c r="C84" s="351" t="n">
        <f aca="false">Forecast01!N88</f>
        <v>78.6668333333333</v>
      </c>
      <c r="D84" s="306" t="n">
        <f aca="false">C84-B84</f>
        <v>15.9668333333333</v>
      </c>
    </row>
    <row r="85" customFormat="false" ht="12.75" hidden="false" customHeight="false" outlineLevel="0" collapsed="false">
      <c r="A85" s="92" t="s">
        <v>122</v>
      </c>
      <c r="B85" s="353" t="n">
        <v>227.5</v>
      </c>
      <c r="C85" s="353" t="n">
        <f aca="false">Forecast01!N89</f>
        <v>322.093291666667</v>
      </c>
      <c r="D85" s="354" t="n">
        <f aca="false">C85-B85</f>
        <v>94.5932916666667</v>
      </c>
    </row>
    <row r="86" customFormat="false" ht="12.75" hidden="false" customHeight="false" outlineLevel="0" collapsed="false">
      <c r="A86" s="110" t="s">
        <v>123</v>
      </c>
      <c r="B86" s="355" t="n">
        <v>494.7</v>
      </c>
      <c r="C86" s="355" t="n">
        <f aca="false">Forecast01!N90</f>
        <v>581.539125</v>
      </c>
      <c r="D86" s="356" t="n">
        <f aca="false">C86-B86</f>
        <v>86.839125</v>
      </c>
    </row>
    <row r="87" customFormat="false" ht="12.75" hidden="false" customHeight="false" outlineLevel="0" collapsed="false">
      <c r="A87" s="110" t="s">
        <v>124</v>
      </c>
      <c r="B87" s="355" t="n">
        <v>527.8</v>
      </c>
      <c r="C87" s="355" t="n">
        <f aca="false">Forecast01!N91</f>
        <v>567.32325</v>
      </c>
      <c r="D87" s="356" t="n">
        <f aca="false">C87-B87</f>
        <v>39.52325</v>
      </c>
    </row>
    <row r="88" customFormat="false" ht="12.75" hidden="false" customHeight="false" outlineLevel="0" collapsed="false">
      <c r="A88" s="92"/>
    </row>
    <row r="89" customFormat="false" ht="15.75" hidden="false" customHeight="false" outlineLevel="0" collapsed="false">
      <c r="A89" s="91" t="s">
        <v>56</v>
      </c>
    </row>
    <row r="90" customFormat="false" ht="12.75" hidden="false" customHeight="false" outlineLevel="0" collapsed="false">
      <c r="A90" s="92" t="s">
        <v>125</v>
      </c>
    </row>
    <row r="91" customFormat="false" ht="12.75" hidden="false" customHeight="false" outlineLevel="0" collapsed="false">
      <c r="A91" s="95" t="s">
        <v>14</v>
      </c>
      <c r="B91" s="351" t="n">
        <v>468.7</v>
      </c>
      <c r="C91" s="351" t="n">
        <f aca="false">Forecast01!N95</f>
        <v>462.85</v>
      </c>
      <c r="D91" s="306" t="n">
        <f aca="false">C91-B91</f>
        <v>-5.85000000000002</v>
      </c>
    </row>
    <row r="92" customFormat="false" ht="12.75" hidden="false" customHeight="false" outlineLevel="0" collapsed="false">
      <c r="A92" s="95" t="s">
        <v>18</v>
      </c>
      <c r="B92" s="351" t="n">
        <v>426</v>
      </c>
      <c r="C92" s="351" t="n">
        <f aca="false">Forecast01!N96</f>
        <v>398.042333333333</v>
      </c>
      <c r="D92" s="306" t="n">
        <f aca="false">C92-B92</f>
        <v>-27.9576666666666</v>
      </c>
    </row>
    <row r="93" customFormat="false" ht="12.75" hidden="false" customHeight="false" outlineLevel="0" collapsed="false">
      <c r="A93" s="95" t="s">
        <v>20</v>
      </c>
      <c r="B93" s="351" t="n">
        <v>16.2</v>
      </c>
      <c r="C93" s="351" t="n">
        <f aca="false">Forecast01!N97</f>
        <v>50.0149166666667</v>
      </c>
      <c r="D93" s="306" t="n">
        <f aca="false">C93-B93</f>
        <v>33.8149166666667</v>
      </c>
    </row>
    <row r="94" customFormat="false" ht="12.75" hidden="false" customHeight="false" outlineLevel="0" collapsed="false">
      <c r="A94" s="126" t="s">
        <v>22</v>
      </c>
      <c r="B94" s="353" t="n">
        <v>0</v>
      </c>
      <c r="C94" s="353" t="n">
        <f aca="false">Forecast01!N98</f>
        <v>2.22883333333333</v>
      </c>
      <c r="D94" s="354" t="n">
        <f aca="false">C94-B94</f>
        <v>2.22883333333333</v>
      </c>
    </row>
    <row r="95" customFormat="false" ht="12.75" hidden="false" customHeight="false" outlineLevel="0" collapsed="false">
      <c r="A95" s="127" t="s">
        <v>126</v>
      </c>
      <c r="B95" s="355" t="n">
        <v>442</v>
      </c>
      <c r="C95" s="355" t="n">
        <f aca="false">Forecast01!N99</f>
        <v>450.286083333333</v>
      </c>
      <c r="D95" s="356" t="n">
        <f aca="false">C95-B95</f>
        <v>8.28608333333341</v>
      </c>
    </row>
    <row r="96" customFormat="false" ht="12.75" hidden="false" customHeight="false" outlineLevel="0" collapsed="false">
      <c r="A96" s="110" t="s">
        <v>127</v>
      </c>
      <c r="B96" s="355" t="n">
        <v>468.7</v>
      </c>
      <c r="C96" s="355" t="n">
        <f aca="false">Forecast01!N100</f>
        <v>462.85</v>
      </c>
      <c r="D96" s="356" t="n">
        <f aca="false">C96-B96</f>
        <v>-5.85000000000002</v>
      </c>
    </row>
    <row r="97" customFormat="false" ht="12.75" hidden="false" customHeight="false" outlineLevel="0" collapsed="false">
      <c r="A97" s="110" t="s">
        <v>128</v>
      </c>
      <c r="B97" s="355" t="n">
        <v>829.3</v>
      </c>
      <c r="C97" s="355" t="n">
        <f aca="false">Forecast01!N101</f>
        <v>849.708333333333</v>
      </c>
      <c r="D97" s="356" t="n">
        <f aca="false">C97-B97</f>
        <v>20.4083333333334</v>
      </c>
    </row>
    <row r="98" customFormat="false" ht="12.75" hidden="false" customHeight="false" outlineLevel="0" collapsed="false">
      <c r="A98" s="92"/>
    </row>
    <row r="99" customFormat="false" ht="15.75" hidden="false" customHeight="false" outlineLevel="0" collapsed="false">
      <c r="A99" s="128" t="s">
        <v>62</v>
      </c>
    </row>
    <row r="100" customFormat="false" ht="12.75" hidden="false" customHeight="false" outlineLevel="0" collapsed="false">
      <c r="A100" s="131" t="s">
        <v>14</v>
      </c>
      <c r="B100" s="351" t="n">
        <v>2679</v>
      </c>
      <c r="C100" s="351" t="n">
        <f aca="false">Forecast01!N104</f>
        <v>2919.3</v>
      </c>
      <c r="D100" s="306" t="n">
        <f aca="false">C100-B100</f>
        <v>240.3</v>
      </c>
    </row>
    <row r="101" customFormat="false" ht="12.75" hidden="false" customHeight="false" outlineLevel="0" collapsed="false">
      <c r="A101" s="131" t="s">
        <v>18</v>
      </c>
      <c r="B101" s="351" t="n">
        <v>2086.9</v>
      </c>
      <c r="C101" s="351" t="n">
        <f aca="false">Forecast01!N105</f>
        <v>2238.05618681541</v>
      </c>
      <c r="D101" s="306" t="n">
        <f aca="false">C101-B101</f>
        <v>151.156186815412</v>
      </c>
    </row>
    <row r="102" customFormat="false" ht="12.75" hidden="false" customHeight="false" outlineLevel="0" collapsed="false">
      <c r="A102" s="131" t="s">
        <v>20</v>
      </c>
      <c r="B102" s="351" t="n">
        <v>45.2</v>
      </c>
      <c r="C102" s="351" t="n">
        <f aca="false">Forecast01!N106</f>
        <v>100.894</v>
      </c>
      <c r="D102" s="306" t="n">
        <f aca="false">C102-B102</f>
        <v>55.694</v>
      </c>
    </row>
    <row r="103" customFormat="false" ht="12.75" hidden="false" customHeight="false" outlineLevel="0" collapsed="false">
      <c r="A103" s="134" t="s">
        <v>22</v>
      </c>
      <c r="B103" s="351" t="n">
        <v>111.8</v>
      </c>
      <c r="C103" s="351" t="n">
        <f aca="false">Forecast01!N107</f>
        <v>197.9485</v>
      </c>
      <c r="D103" s="306" t="n">
        <f aca="false">C103-B103</f>
        <v>86.1485</v>
      </c>
    </row>
    <row r="104" customFormat="false" ht="12.75" hidden="false" customHeight="false" outlineLevel="0" collapsed="false">
      <c r="A104" s="127" t="s">
        <v>66</v>
      </c>
      <c r="B104" s="351" t="n">
        <v>2243.9</v>
      </c>
      <c r="C104" s="351" t="n">
        <f aca="false">Forecast01!N108</f>
        <v>2536.89868681541</v>
      </c>
      <c r="D104" s="306" t="n">
        <f aca="false">C104-B104</f>
        <v>292.998686815412</v>
      </c>
    </row>
    <row r="105" customFormat="false" ht="12.75" hidden="false" customHeight="false" outlineLevel="0" collapsed="false">
      <c r="A105" s="110" t="s">
        <v>65</v>
      </c>
      <c r="B105" s="351" t="n">
        <v>2679</v>
      </c>
      <c r="C105" s="351" t="n">
        <f aca="false">Forecast01!N109</f>
        <v>2919.3</v>
      </c>
      <c r="D105" s="306" t="n">
        <f aca="false">C105-B105</f>
        <v>240.3</v>
      </c>
    </row>
    <row r="106" customFormat="false" ht="12.75" hidden="false" customHeight="false" outlineLevel="0" collapsed="false">
      <c r="A106" s="110" t="s">
        <v>129</v>
      </c>
      <c r="B106" s="351" t="n">
        <v>1534.5</v>
      </c>
      <c r="C106" s="351" t="n">
        <f aca="false">Forecast01!N110</f>
        <v>1827.37360348208</v>
      </c>
      <c r="D106" s="306" t="n">
        <f aca="false">C106-B106</f>
        <v>292.873603482079</v>
      </c>
    </row>
    <row r="107" customFormat="false" ht="12.75" hidden="false" customHeight="false" outlineLevel="0" collapsed="false">
      <c r="A107" s="113"/>
    </row>
    <row r="108" customFormat="false" ht="12.75" hidden="false" customHeight="false" outlineLevel="0" collapsed="false">
      <c r="A108" s="81"/>
    </row>
    <row r="109" customFormat="false" ht="12.75" hidden="false" customHeight="false" outlineLevel="0" collapsed="false">
      <c r="A109" s="92" t="s">
        <v>130</v>
      </c>
    </row>
    <row r="110" customFormat="false" ht="12.75" hidden="false" customHeight="false" outlineLevel="0" collapsed="false">
      <c r="A110" s="92" t="s">
        <v>131</v>
      </c>
    </row>
    <row r="111" customFormat="false" ht="12.75" hidden="false" customHeight="false" outlineLevel="0" collapsed="false">
      <c r="A111" s="92" t="s">
        <v>132</v>
      </c>
    </row>
    <row r="112" customFormat="false" ht="12.75" hidden="false" customHeight="false" outlineLevel="0" collapsed="false">
      <c r="A112" s="92"/>
    </row>
    <row r="113" customFormat="false" ht="12.75" hidden="false" customHeight="false" outlineLevel="0" collapsed="false">
      <c r="A113" s="92"/>
    </row>
    <row r="114" customFormat="false" ht="15.75" hidden="false" customHeight="false" outlineLevel="0" collapsed="false">
      <c r="A114" s="88" t="s">
        <v>133</v>
      </c>
    </row>
    <row r="115" customFormat="false" ht="12.75" hidden="false" customHeight="false" outlineLevel="0" collapsed="false">
      <c r="A115" s="92" t="s">
        <v>134</v>
      </c>
    </row>
    <row r="116" customFormat="false" ht="12.75" hidden="false" customHeight="false" outlineLevel="0" collapsed="false">
      <c r="A116" s="95" t="s">
        <v>14</v>
      </c>
      <c r="B116" s="357" t="n">
        <v>0.2987</v>
      </c>
      <c r="C116" s="357" t="n">
        <f aca="false">Forecast01!N120</f>
        <v>0.3019824994957</v>
      </c>
      <c r="D116" s="358" t="n">
        <f aca="false">C116-B116</f>
        <v>0.00328249949569975</v>
      </c>
    </row>
    <row r="117" customFormat="false" ht="12.75" hidden="false" customHeight="false" outlineLevel="0" collapsed="false">
      <c r="A117" s="95" t="s">
        <v>110</v>
      </c>
      <c r="B117" s="357" t="n">
        <v>0.0267</v>
      </c>
      <c r="C117" s="357" t="n">
        <f aca="false">Forecast01!N121</f>
        <v>0.0282371101854082</v>
      </c>
      <c r="D117" s="358" t="n">
        <f aca="false">C117-B117</f>
        <v>0.00153711018540818</v>
      </c>
    </row>
    <row r="118" customFormat="false" ht="12.75" hidden="false" customHeight="false" outlineLevel="0" collapsed="false">
      <c r="A118" s="95" t="s">
        <v>111</v>
      </c>
      <c r="B118" s="357" t="n">
        <v>0.0307</v>
      </c>
      <c r="C118" s="357" t="n">
        <f aca="false">Forecast01!N122</f>
        <v>0.0247348463681074</v>
      </c>
      <c r="D118" s="358" t="n">
        <f aca="false">C118-B118</f>
        <v>-0.00596515363189261</v>
      </c>
    </row>
    <row r="119" customFormat="false" ht="12.75" hidden="false" customHeight="false" outlineLevel="0" collapsed="false">
      <c r="A119" s="95" t="s">
        <v>114</v>
      </c>
      <c r="B119" s="357" t="n">
        <v>0.0174</v>
      </c>
      <c r="C119" s="357" t="n">
        <f aca="false">Forecast01!N123</f>
        <v>0.372118736177669</v>
      </c>
      <c r="D119" s="358" t="n">
        <f aca="false">C119-B119</f>
        <v>0.354718736177669</v>
      </c>
    </row>
    <row r="120" customFormat="false" ht="12.75" hidden="false" customHeight="false" outlineLevel="0" collapsed="false">
      <c r="A120" s="95"/>
      <c r="B120" s="357"/>
      <c r="C120" s="357"/>
      <c r="D120" s="358"/>
    </row>
    <row r="121" customFormat="false" ht="12.75" hidden="false" customHeight="false" outlineLevel="0" collapsed="false">
      <c r="A121" s="92" t="s">
        <v>24</v>
      </c>
      <c r="B121" s="357"/>
      <c r="C121" s="357"/>
      <c r="D121" s="358"/>
    </row>
    <row r="122" customFormat="false" ht="12.75" hidden="false" customHeight="false" outlineLevel="0" collapsed="false">
      <c r="A122" s="95" t="s">
        <v>14</v>
      </c>
      <c r="B122" s="357" t="n">
        <v>0.2636</v>
      </c>
      <c r="C122" s="357" t="n">
        <f aca="false">Forecast01!N126</f>
        <v>0.262463879486662</v>
      </c>
      <c r="D122" s="358" t="n">
        <f aca="false">C122-B122</f>
        <v>-0.00113612051333811</v>
      </c>
    </row>
    <row r="123" customFormat="false" ht="12.75" hidden="false" customHeight="false" outlineLevel="0" collapsed="false">
      <c r="A123" s="95" t="s">
        <v>110</v>
      </c>
      <c r="B123" s="357" t="n">
        <v>0.023</v>
      </c>
      <c r="C123" s="357" t="n">
        <f aca="false">Forecast01!N127</f>
        <v>0.0282739862898352</v>
      </c>
      <c r="D123" s="358" t="n">
        <f aca="false">C123-B123</f>
        <v>0.00527398628983524</v>
      </c>
    </row>
    <row r="124" customFormat="false" ht="12.75" hidden="false" customHeight="false" outlineLevel="0" collapsed="false">
      <c r="A124" s="95" t="s">
        <v>111</v>
      </c>
      <c r="B124" s="357" t="n">
        <v>0.0322</v>
      </c>
      <c r="C124" s="357" t="n">
        <f aca="false">Forecast01!N128</f>
        <v>0.0329845900118538</v>
      </c>
      <c r="D124" s="358" t="n">
        <f aca="false">C124-B124</f>
        <v>0.000784590011853832</v>
      </c>
    </row>
    <row r="125" customFormat="false" ht="12.75" hidden="false" customHeight="false" outlineLevel="0" collapsed="false">
      <c r="A125" s="95" t="s">
        <v>114</v>
      </c>
      <c r="B125" s="357" t="n">
        <v>0.1829</v>
      </c>
      <c r="C125" s="357" t="n">
        <f aca="false">Forecast01!N129</f>
        <v>0.0176095696835097</v>
      </c>
      <c r="D125" s="358" t="n">
        <f aca="false">C125-B125</f>
        <v>-0.16529043031649</v>
      </c>
    </row>
    <row r="126" customFormat="false" ht="12.75" hidden="false" customHeight="false" outlineLevel="0" collapsed="false">
      <c r="A126" s="95"/>
      <c r="B126" s="357"/>
      <c r="C126" s="357"/>
      <c r="D126" s="358"/>
    </row>
    <row r="127" customFormat="false" ht="12.75" hidden="false" customHeight="false" outlineLevel="0" collapsed="false">
      <c r="A127" s="92" t="s">
        <v>135</v>
      </c>
      <c r="B127" s="357"/>
      <c r="C127" s="357"/>
      <c r="D127" s="358"/>
    </row>
    <row r="128" customFormat="false" ht="12.75" hidden="false" customHeight="false" outlineLevel="0" collapsed="false">
      <c r="A128" s="95" t="s">
        <v>14</v>
      </c>
      <c r="B128" s="357" t="n">
        <v>0.1458</v>
      </c>
      <c r="C128" s="357" t="n">
        <f aca="false">Forecast01!N132</f>
        <v>0.158756139756811</v>
      </c>
      <c r="D128" s="358" t="n">
        <f aca="false">C128-B128</f>
        <v>0.0129561397568108</v>
      </c>
    </row>
    <row r="129" customFormat="false" ht="12.75" hidden="false" customHeight="false" outlineLevel="0" collapsed="false">
      <c r="A129" s="95" t="s">
        <v>110</v>
      </c>
      <c r="B129" s="357" t="n">
        <v>0.0183</v>
      </c>
      <c r="C129" s="357" t="n">
        <f aca="false">Forecast01!N133</f>
        <v>0.0185975192963123</v>
      </c>
      <c r="D129" s="358" t="n">
        <f aca="false">C129-B129</f>
        <v>0.000297519296312315</v>
      </c>
    </row>
    <row r="130" customFormat="false" ht="12.75" hidden="false" customHeight="false" outlineLevel="0" collapsed="false">
      <c r="A130" s="95" t="s">
        <v>111</v>
      </c>
      <c r="B130" s="357" t="n">
        <v>0</v>
      </c>
      <c r="C130" s="357" t="n">
        <f aca="false">Forecast01!N134</f>
        <v>0</v>
      </c>
      <c r="D130" s="358" t="n">
        <f aca="false">C130-B130</f>
        <v>0</v>
      </c>
    </row>
    <row r="131" customFormat="false" ht="12.75" hidden="false" customHeight="false" outlineLevel="0" collapsed="false">
      <c r="A131" s="95" t="s">
        <v>114</v>
      </c>
      <c r="B131" s="357" t="n">
        <v>0</v>
      </c>
      <c r="C131" s="357" t="n">
        <f aca="false">Forecast01!N135</f>
        <v>0</v>
      </c>
      <c r="D131" s="358" t="n">
        <f aca="false">C131-B131</f>
        <v>0</v>
      </c>
    </row>
    <row r="132" customFormat="false" ht="12.75" hidden="false" customHeight="false" outlineLevel="0" collapsed="false">
      <c r="A132" s="95"/>
      <c r="B132" s="357"/>
      <c r="C132" s="357"/>
      <c r="D132" s="358"/>
    </row>
    <row r="133" customFormat="false" ht="12.75" hidden="false" customHeight="false" outlineLevel="0" collapsed="false">
      <c r="A133" s="92" t="s">
        <v>115</v>
      </c>
      <c r="B133" s="357"/>
      <c r="C133" s="357"/>
      <c r="D133" s="358"/>
    </row>
    <row r="134" customFormat="false" ht="12.75" hidden="false" customHeight="false" outlineLevel="0" collapsed="false">
      <c r="A134" s="95" t="s">
        <v>14</v>
      </c>
      <c r="B134" s="357" t="n">
        <v>0.1413</v>
      </c>
      <c r="C134" s="357" t="n">
        <f aca="false">Forecast01!N138</f>
        <v>0.216599048741136</v>
      </c>
      <c r="D134" s="358" t="n">
        <f aca="false">C134-B134</f>
        <v>0.0752990487411357</v>
      </c>
    </row>
    <row r="135" customFormat="false" ht="12.75" hidden="false" customHeight="false" outlineLevel="0" collapsed="false">
      <c r="A135" s="95" t="s">
        <v>110</v>
      </c>
      <c r="B135" s="357" t="n">
        <v>0.0189</v>
      </c>
      <c r="C135" s="357" t="n">
        <f aca="false">Forecast01!N139</f>
        <v>0.0193932925680635</v>
      </c>
      <c r="D135" s="358" t="n">
        <f aca="false">C135-B135</f>
        <v>0.00049329256806354</v>
      </c>
    </row>
    <row r="136" customFormat="false" ht="12.75" hidden="false" customHeight="false" outlineLevel="0" collapsed="false">
      <c r="A136" s="95" t="s">
        <v>111</v>
      </c>
      <c r="B136" s="357" t="n">
        <v>0</v>
      </c>
      <c r="C136" s="357" t="n">
        <f aca="false">Forecast01!N140</f>
        <v>0</v>
      </c>
      <c r="D136" s="358" t="n">
        <f aca="false">C136-B136</f>
        <v>0</v>
      </c>
    </row>
    <row r="137" customFormat="false" ht="12.75" hidden="false" customHeight="false" outlineLevel="0" collapsed="false">
      <c r="A137" s="95" t="s">
        <v>114</v>
      </c>
      <c r="B137" s="357" t="n">
        <v>0.4176</v>
      </c>
      <c r="C137" s="357" t="n">
        <f aca="false">Forecast01!N141</f>
        <v>-0.0191143676330041</v>
      </c>
      <c r="D137" s="358" t="n">
        <f aca="false">C137-B137</f>
        <v>-0.436714367633004</v>
      </c>
    </row>
    <row r="138" customFormat="false" ht="12.75" hidden="false" customHeight="false" outlineLevel="0" collapsed="false">
      <c r="A138" s="95"/>
      <c r="B138" s="357"/>
      <c r="C138" s="357"/>
      <c r="D138" s="358"/>
    </row>
    <row r="139" customFormat="false" ht="12.75" hidden="false" customHeight="false" outlineLevel="0" collapsed="false">
      <c r="A139" s="92" t="s">
        <v>136</v>
      </c>
      <c r="B139" s="357"/>
      <c r="C139" s="357"/>
      <c r="D139" s="358"/>
    </row>
    <row r="140" customFormat="false" ht="12.75" hidden="false" customHeight="false" outlineLevel="0" collapsed="false">
      <c r="A140" s="95" t="s">
        <v>14</v>
      </c>
      <c r="B140" s="357" t="n">
        <v>0.0267</v>
      </c>
      <c r="C140" s="357" t="n">
        <f aca="false">Forecast01!N144</f>
        <v>0.0120235624900236</v>
      </c>
      <c r="D140" s="358" t="n">
        <f aca="false">C140-B140</f>
        <v>-0.0146764375099764</v>
      </c>
    </row>
    <row r="141" customFormat="false" ht="12.75" hidden="false" customHeight="false" outlineLevel="0" collapsed="false">
      <c r="A141" s="95" t="s">
        <v>110</v>
      </c>
      <c r="B141" s="357" t="n">
        <v>0.0137</v>
      </c>
      <c r="C141" s="357" t="n">
        <f aca="false">Forecast01!N145</f>
        <v>0.0077618402128005</v>
      </c>
      <c r="D141" s="358" t="n">
        <f aca="false">C141-B141</f>
        <v>-0.0059381597871995</v>
      </c>
    </row>
    <row r="142" customFormat="false" ht="12.75" hidden="false" customHeight="false" outlineLevel="0" collapsed="false">
      <c r="A142" s="95" t="s">
        <v>111</v>
      </c>
      <c r="B142" s="357" t="n">
        <v>0</v>
      </c>
      <c r="C142" s="357" t="n">
        <f aca="false">Forecast01!N146</f>
        <v>0</v>
      </c>
      <c r="D142" s="358" t="n">
        <f aca="false">C142-B142</f>
        <v>0</v>
      </c>
    </row>
    <row r="143" customFormat="false" ht="12.75" hidden="false" customHeight="false" outlineLevel="0" collapsed="false">
      <c r="A143" s="95" t="s">
        <v>114</v>
      </c>
      <c r="B143" s="357" t="n">
        <v>0.0448</v>
      </c>
      <c r="C143" s="357" t="n">
        <f aca="false">Forecast01!N147</f>
        <v>0.137359053210325</v>
      </c>
      <c r="D143" s="358" t="n">
        <f aca="false">C143-B143</f>
        <v>0.0925590532103252</v>
      </c>
    </row>
    <row r="144" customFormat="false" ht="12.75" hidden="false" customHeight="false" outlineLevel="0" collapsed="false">
      <c r="A144" s="95"/>
      <c r="B144" s="357"/>
      <c r="C144" s="357"/>
      <c r="D144" s="358"/>
    </row>
    <row r="145" customFormat="false" ht="12.75" hidden="false" customHeight="false" outlineLevel="0" collapsed="false">
      <c r="A145" s="92" t="s">
        <v>137</v>
      </c>
      <c r="B145" s="357"/>
      <c r="C145" s="357"/>
      <c r="D145" s="358"/>
    </row>
    <row r="146" customFormat="false" ht="12.75" hidden="false" customHeight="false" outlineLevel="0" collapsed="false">
      <c r="A146" s="95" t="s">
        <v>14</v>
      </c>
      <c r="B146" s="357" t="n">
        <v>0.0263</v>
      </c>
      <c r="C146" s="357" t="n">
        <f aca="false">Forecast01!N150</f>
        <v>0.034666282374823</v>
      </c>
      <c r="D146" s="358" t="n">
        <f aca="false">C146-B146</f>
        <v>0.00836628237482295</v>
      </c>
    </row>
    <row r="147" customFormat="false" ht="12.75" hidden="false" customHeight="false" outlineLevel="0" collapsed="false">
      <c r="A147" s="95" t="s">
        <v>18</v>
      </c>
      <c r="B147" s="357" t="n">
        <v>0.0096</v>
      </c>
      <c r="C147" s="357" t="n">
        <f aca="false">Forecast01!N151</f>
        <v>0.00977029138372966</v>
      </c>
      <c r="D147" s="358" t="n">
        <f aca="false">C147-B147</f>
        <v>0.000170291383729657</v>
      </c>
    </row>
    <row r="148" customFormat="false" ht="12.75" hidden="false" customHeight="false" outlineLevel="0" collapsed="false">
      <c r="A148" s="95" t="s">
        <v>20</v>
      </c>
      <c r="B148" s="357" t="n">
        <v>0</v>
      </c>
      <c r="C148" s="357" t="n">
        <f aca="false">Forecast01!N152</f>
        <v>0</v>
      </c>
      <c r="D148" s="358" t="n">
        <f aca="false">C148-B148</f>
        <v>0</v>
      </c>
    </row>
    <row r="149" customFormat="false" ht="12.75" hidden="false" customHeight="false" outlineLevel="0" collapsed="false">
      <c r="A149" s="95" t="s">
        <v>22</v>
      </c>
      <c r="B149" s="357" t="n">
        <v>0.0423</v>
      </c>
      <c r="C149" s="357" t="n">
        <f aca="false">Forecast01!N153</f>
        <v>0.063476898096852</v>
      </c>
      <c r="D149" s="358" t="n">
        <f aca="false">C149-B149</f>
        <v>0.021176898096852</v>
      </c>
    </row>
    <row r="150" customFormat="false" ht="12.75" hidden="false" customHeight="false" outlineLevel="0" collapsed="false">
      <c r="A150" s="95"/>
      <c r="B150" s="357"/>
      <c r="C150" s="357"/>
      <c r="D150" s="358"/>
    </row>
    <row r="151" customFormat="false" ht="12.75" hidden="false" customHeight="false" outlineLevel="0" collapsed="false">
      <c r="A151" s="92" t="s">
        <v>138</v>
      </c>
      <c r="B151" s="357"/>
      <c r="C151" s="357"/>
      <c r="D151" s="358"/>
    </row>
    <row r="152" customFormat="false" ht="12.75" hidden="false" customHeight="false" outlineLevel="0" collapsed="false">
      <c r="A152" s="95" t="s">
        <v>14</v>
      </c>
      <c r="B152" s="357" t="n">
        <v>0.2093</v>
      </c>
      <c r="C152" s="357" t="n">
        <f aca="false">Forecast01!N156</f>
        <v>0.205453424657534</v>
      </c>
      <c r="D152" s="358" t="n">
        <f aca="false">C152-B152</f>
        <v>-0.00384657534246577</v>
      </c>
    </row>
    <row r="153" customFormat="false" ht="12.75" hidden="false" customHeight="false" outlineLevel="0" collapsed="false">
      <c r="A153" s="95" t="s">
        <v>18</v>
      </c>
      <c r="B153" s="357" t="n">
        <v>0.0114</v>
      </c>
      <c r="C153" s="357" t="n">
        <f aca="false">Forecast01!N157</f>
        <v>0.0122541921436995</v>
      </c>
      <c r="D153" s="358" t="n">
        <f aca="false">C153-B153</f>
        <v>0.000854192143699537</v>
      </c>
    </row>
    <row r="154" customFormat="false" ht="12.75" hidden="false" customHeight="false" outlineLevel="0" collapsed="false">
      <c r="A154" s="95" t="s">
        <v>20</v>
      </c>
      <c r="B154" s="357" t="n">
        <v>0</v>
      </c>
      <c r="C154" s="357" t="n">
        <f aca="false">Forecast01!N158</f>
        <v>0</v>
      </c>
      <c r="D154" s="358" t="n">
        <f aca="false">C154-B154</f>
        <v>0</v>
      </c>
    </row>
    <row r="155" customFormat="false" ht="12.75" hidden="false" customHeight="false" outlineLevel="0" collapsed="false">
      <c r="A155" s="95" t="s">
        <v>22</v>
      </c>
      <c r="B155" s="357" t="n">
        <v>0.1259</v>
      </c>
      <c r="C155" s="357" t="n">
        <f aca="false">Forecast01!N159</f>
        <v>0.220319150965223</v>
      </c>
      <c r="D155" s="358" t="n">
        <f aca="false">C155-B155</f>
        <v>0.0944191509652231</v>
      </c>
    </row>
    <row r="156" customFormat="false" ht="12.75" hidden="false" customHeight="false" outlineLevel="0" collapsed="false">
      <c r="A156" s="95"/>
      <c r="B156" s="357"/>
      <c r="C156" s="357"/>
      <c r="D156" s="358"/>
    </row>
    <row r="157" customFormat="false" ht="12.75" hidden="false" customHeight="false" outlineLevel="0" collapsed="false">
      <c r="A157" s="92" t="s">
        <v>43</v>
      </c>
      <c r="B157" s="357"/>
      <c r="C157" s="357"/>
      <c r="D157" s="358"/>
    </row>
    <row r="158" customFormat="false" ht="12.75" hidden="false" customHeight="false" outlineLevel="0" collapsed="false">
      <c r="A158" s="95" t="s">
        <v>14</v>
      </c>
      <c r="B158" s="357" t="n">
        <v>0.1487</v>
      </c>
      <c r="C158" s="357" t="n">
        <f aca="false">Forecast01!N162</f>
        <v>0.145891961413607</v>
      </c>
      <c r="D158" s="358" t="n">
        <f aca="false">C158-B158</f>
        <v>-0.00280803858639347</v>
      </c>
    </row>
    <row r="159" customFormat="false" ht="12.75" hidden="false" customHeight="false" outlineLevel="0" collapsed="false">
      <c r="A159" s="95" t="s">
        <v>110</v>
      </c>
      <c r="B159" s="357" t="n">
        <v>0.015</v>
      </c>
      <c r="C159" s="357" t="n">
        <f aca="false">Forecast01!N163</f>
        <v>0.011410072363379</v>
      </c>
      <c r="D159" s="358" t="n">
        <f aca="false">C159-B159</f>
        <v>-0.00358992763662097</v>
      </c>
    </row>
    <row r="160" customFormat="false" ht="12.75" hidden="false" customHeight="false" outlineLevel="0" collapsed="false">
      <c r="A160" s="95" t="s">
        <v>111</v>
      </c>
      <c r="B160" s="357" t="n">
        <v>0</v>
      </c>
      <c r="C160" s="357" t="n">
        <f aca="false">Forecast01!N164</f>
        <v>0</v>
      </c>
      <c r="D160" s="358" t="n">
        <f aca="false">C160-B160</f>
        <v>0</v>
      </c>
    </row>
    <row r="161" customFormat="false" ht="12.75" hidden="false" customHeight="false" outlineLevel="0" collapsed="false">
      <c r="A161" s="95" t="s">
        <v>114</v>
      </c>
      <c r="B161" s="357" t="n">
        <v>0.0505</v>
      </c>
      <c r="C161" s="357" t="n">
        <f aca="false">Forecast01!N165</f>
        <v>0.119991405495763</v>
      </c>
      <c r="D161" s="358" t="n">
        <f aca="false">C161-B161</f>
        <v>0.0694914054957627</v>
      </c>
    </row>
    <row r="162" customFormat="false" ht="12.75" hidden="false" customHeight="false" outlineLevel="0" collapsed="false">
      <c r="A162" s="95"/>
      <c r="B162" s="357"/>
      <c r="C162" s="357"/>
      <c r="D162" s="358"/>
    </row>
    <row r="163" customFormat="false" ht="12.75" hidden="false" customHeight="false" outlineLevel="0" collapsed="false">
      <c r="A163" s="92" t="s">
        <v>49</v>
      </c>
      <c r="B163" s="357"/>
      <c r="C163" s="357"/>
      <c r="D163" s="358"/>
    </row>
    <row r="164" customFormat="false" ht="12.75" hidden="false" customHeight="false" outlineLevel="0" collapsed="false">
      <c r="A164" s="95" t="s">
        <v>14</v>
      </c>
      <c r="B164" s="357" t="n">
        <v>0.0384</v>
      </c>
      <c r="C164" s="357" t="n">
        <f aca="false">Forecast01!N168</f>
        <v>0.04560649928775</v>
      </c>
      <c r="D164" s="358" t="n">
        <f aca="false">C164-B164</f>
        <v>0.00720649928774998</v>
      </c>
    </row>
    <row r="165" customFormat="false" ht="12.75" hidden="false" customHeight="false" outlineLevel="0" collapsed="false">
      <c r="A165" s="95" t="s">
        <v>110</v>
      </c>
      <c r="B165" s="357" t="n">
        <v>0.0012</v>
      </c>
      <c r="C165" s="357" t="n">
        <f aca="false">Forecast01!N169</f>
        <v>0.00165520841806196</v>
      </c>
      <c r="D165" s="358" t="n">
        <f aca="false">C165-B165</f>
        <v>0.000455208418061958</v>
      </c>
    </row>
    <row r="166" customFormat="false" ht="12.75" hidden="false" customHeight="false" outlineLevel="0" collapsed="false">
      <c r="A166" s="95" t="s">
        <v>111</v>
      </c>
      <c r="B166" s="357" t="n">
        <v>0.0011</v>
      </c>
      <c r="C166" s="357" t="n">
        <f aca="false">Forecast01!N170</f>
        <v>0.00110651293513621</v>
      </c>
      <c r="D166" s="358" t="n">
        <f aca="false">C166-B166</f>
        <v>6.51293513621171E-006</v>
      </c>
    </row>
    <row r="167" customFormat="false" ht="12.75" hidden="false" customHeight="false" outlineLevel="0" collapsed="false">
      <c r="A167" s="95" t="s">
        <v>114</v>
      </c>
      <c r="B167" s="357" t="n">
        <v>0.038</v>
      </c>
      <c r="C167" s="357" t="n">
        <f aca="false">Forecast01!N171</f>
        <v>0.0424734732083646</v>
      </c>
      <c r="D167" s="358" t="n">
        <f aca="false">C167-B167</f>
        <v>0.0044734732083646</v>
      </c>
    </row>
    <row r="168" customFormat="false" ht="12.75" hidden="false" customHeight="false" outlineLevel="0" collapsed="false">
      <c r="A168" s="95"/>
      <c r="B168" s="357"/>
      <c r="C168" s="357"/>
      <c r="D168" s="358"/>
    </row>
    <row r="169" customFormat="false" ht="12.75" hidden="false" customHeight="false" outlineLevel="0" collapsed="false">
      <c r="A169" s="92" t="s">
        <v>51</v>
      </c>
      <c r="B169" s="357"/>
      <c r="C169" s="357"/>
      <c r="D169" s="358"/>
    </row>
    <row r="170" customFormat="false" ht="12.75" hidden="false" customHeight="false" outlineLevel="0" collapsed="false">
      <c r="A170" s="95" t="s">
        <v>14</v>
      </c>
      <c r="B170" s="357" t="n">
        <v>0.0479</v>
      </c>
      <c r="C170" s="357" t="n">
        <f aca="false">Forecast01!N174</f>
        <v>0.0430824476425908</v>
      </c>
      <c r="D170" s="358" t="n">
        <f aca="false">C170-B170</f>
        <v>-0.00481755235740917</v>
      </c>
    </row>
    <row r="171" customFormat="false" ht="12.75" hidden="false" customHeight="false" outlineLevel="0" collapsed="false">
      <c r="A171" s="95" t="s">
        <v>110</v>
      </c>
      <c r="B171" s="357" t="n">
        <v>0.0027</v>
      </c>
      <c r="C171" s="357" t="n">
        <f aca="false">Forecast01!N175</f>
        <v>0.00290791773381999</v>
      </c>
      <c r="D171" s="358" t="n">
        <f aca="false">C171-B171</f>
        <v>0.000207917733819991</v>
      </c>
    </row>
    <row r="172" customFormat="false" ht="12.75" hidden="false" customHeight="false" outlineLevel="0" collapsed="false">
      <c r="A172" s="95" t="s">
        <v>111</v>
      </c>
      <c r="B172" s="357" t="n">
        <v>0</v>
      </c>
      <c r="C172" s="357" t="n">
        <f aca="false">Forecast01!N176</f>
        <v>0</v>
      </c>
      <c r="D172" s="358" t="n">
        <f aca="false">C172-B172</f>
        <v>0</v>
      </c>
    </row>
    <row r="173" customFormat="false" ht="12.75" hidden="false" customHeight="false" outlineLevel="0" collapsed="false">
      <c r="A173" s="95" t="s">
        <v>114</v>
      </c>
      <c r="B173" s="357" t="n">
        <v>0.027</v>
      </c>
      <c r="C173" s="357" t="n">
        <f aca="false">Forecast01!N177</f>
        <v>0.039585762776855</v>
      </c>
      <c r="D173" s="358" t="n">
        <f aca="false">C173-B173</f>
        <v>0.012585762776855</v>
      </c>
    </row>
    <row r="174" customFormat="false" ht="12.75" hidden="false" customHeight="false" outlineLevel="0" collapsed="false">
      <c r="A174" s="95"/>
      <c r="B174" s="357"/>
      <c r="C174" s="357"/>
      <c r="D174" s="358"/>
    </row>
    <row r="175" customFormat="false" ht="12.75" hidden="false" customHeight="false" outlineLevel="0" collapsed="false">
      <c r="A175" s="92" t="s">
        <v>57</v>
      </c>
      <c r="B175" s="357"/>
      <c r="C175" s="357"/>
      <c r="D175" s="358"/>
    </row>
    <row r="176" customFormat="false" ht="12.75" hidden="false" customHeight="false" outlineLevel="0" collapsed="false">
      <c r="A176" s="95" t="s">
        <v>14</v>
      </c>
      <c r="B176" s="357" t="n">
        <v>0.0376</v>
      </c>
      <c r="C176" s="357" t="n">
        <f aca="false">Forecast01!N180</f>
        <v>0.031257685009937</v>
      </c>
      <c r="D176" s="358" t="n">
        <f aca="false">C176-B176</f>
        <v>-0.00634231499006305</v>
      </c>
    </row>
    <row r="177" customFormat="false" ht="12.75" hidden="false" customHeight="false" outlineLevel="0" collapsed="false">
      <c r="A177" s="95" t="s">
        <v>18</v>
      </c>
      <c r="B177" s="357" t="n">
        <v>0.0038</v>
      </c>
      <c r="C177" s="357" t="n">
        <f aca="false">Forecast01!N181</f>
        <v>0.00277737154939498</v>
      </c>
      <c r="D177" s="358" t="n">
        <f aca="false">C177-B177</f>
        <v>-0.00102262845060502</v>
      </c>
    </row>
    <row r="178" customFormat="false" ht="12.75" hidden="false" customHeight="false" outlineLevel="0" collapsed="false">
      <c r="A178" s="95" t="s">
        <v>20</v>
      </c>
      <c r="B178" s="357" t="n">
        <v>0.0001</v>
      </c>
      <c r="C178" s="357" t="n">
        <f aca="false">Forecast01!N182</f>
        <v>0</v>
      </c>
      <c r="D178" s="358" t="n">
        <f aca="false">C178-B178</f>
        <v>-0.0001</v>
      </c>
    </row>
    <row r="179" customFormat="false" ht="12.75" hidden="false" customHeight="false" outlineLevel="0" collapsed="false">
      <c r="A179" s="95" t="s">
        <v>22</v>
      </c>
      <c r="D179" s="358"/>
    </row>
    <row r="180" customFormat="false" ht="12.75" hidden="false" customHeight="false" outlineLevel="0" collapsed="false">
      <c r="A180" s="103"/>
    </row>
    <row r="181" customFormat="false" ht="15.75" hidden="false" customHeight="false" outlineLevel="0" collapsed="false">
      <c r="A181" s="88" t="s">
        <v>139</v>
      </c>
    </row>
    <row r="182" customFormat="false" ht="15.75" hidden="false" customHeight="false" outlineLevel="0" collapsed="false">
      <c r="A182" s="91" t="s">
        <v>11</v>
      </c>
    </row>
    <row r="183" customFormat="false" ht="12.75" hidden="false" customHeight="false" outlineLevel="0" collapsed="false">
      <c r="A183" s="92" t="s">
        <v>12</v>
      </c>
    </row>
    <row r="184" customFormat="false" ht="12.75" hidden="false" customHeight="false" outlineLevel="0" collapsed="false">
      <c r="A184" s="95" t="s">
        <v>14</v>
      </c>
      <c r="B184" s="351" t="n">
        <v>25140.7</v>
      </c>
      <c r="C184" s="351" t="n">
        <f aca="false">Forecast01!N188</f>
        <v>24418.73694</v>
      </c>
      <c r="D184" s="306" t="n">
        <f aca="false">C184-B184</f>
        <v>-721.963059999998</v>
      </c>
    </row>
    <row r="185" customFormat="false" ht="12.75" hidden="false" customHeight="false" outlineLevel="0" collapsed="false">
      <c r="A185" s="95" t="s">
        <v>16</v>
      </c>
      <c r="B185" s="351" t="n">
        <v>4161.6</v>
      </c>
      <c r="C185" s="351" t="n">
        <f aca="false">Forecast01!N189</f>
        <v>4399.2265</v>
      </c>
      <c r="D185" s="306" t="n">
        <f aca="false">C185-B185</f>
        <v>237.626499999999</v>
      </c>
      <c r="E185" s="294" t="s">
        <v>323</v>
      </c>
    </row>
    <row r="186" customFormat="false" ht="12.75" hidden="false" customHeight="false" outlineLevel="0" collapsed="false">
      <c r="A186" s="95" t="s">
        <v>18</v>
      </c>
      <c r="B186" s="351" t="n">
        <v>2895.2</v>
      </c>
      <c r="C186" s="351" t="n">
        <f aca="false">Forecast01!N190</f>
        <v>3725.6401461</v>
      </c>
      <c r="D186" s="306" t="n">
        <f aca="false">C186-B186</f>
        <v>830.4401461</v>
      </c>
    </row>
    <row r="187" customFormat="false" ht="12.75" hidden="false" customHeight="false" outlineLevel="0" collapsed="false">
      <c r="A187" s="107" t="s">
        <v>20</v>
      </c>
      <c r="B187" s="351" t="n">
        <v>269.2</v>
      </c>
      <c r="C187" s="351" t="n">
        <f aca="false">Forecast01!N191</f>
        <v>393.2</v>
      </c>
      <c r="D187" s="306" t="n">
        <f aca="false">C187-B187</f>
        <v>124</v>
      </c>
    </row>
    <row r="188" customFormat="false" ht="12.75" hidden="false" customHeight="false" outlineLevel="0" collapsed="false">
      <c r="A188" s="95" t="s">
        <v>22</v>
      </c>
      <c r="B188" s="353" t="n">
        <v>0.5</v>
      </c>
      <c r="C188" s="353" t="n">
        <f aca="false">Forecast01!N192</f>
        <v>5331.1</v>
      </c>
      <c r="D188" s="354" t="n">
        <f aca="false">C188-B188</f>
        <v>5330.6</v>
      </c>
    </row>
    <row r="189" customFormat="false" ht="12.75" hidden="false" customHeight="false" outlineLevel="0" collapsed="false">
      <c r="A189" s="92" t="s">
        <v>23</v>
      </c>
      <c r="B189" s="351" t="n">
        <v>32467.3</v>
      </c>
      <c r="C189" s="351" t="n">
        <f aca="false">Forecast01!N193</f>
        <v>38267.9035861</v>
      </c>
      <c r="D189" s="306" t="n">
        <f aca="false">C189-B189</f>
        <v>5800.6035861</v>
      </c>
    </row>
    <row r="190" customFormat="false" ht="12.75" hidden="false" customHeight="false" outlineLevel="0" collapsed="false">
      <c r="A190" s="95"/>
    </row>
    <row r="191" customFormat="false" ht="12.75" hidden="false" customHeight="false" outlineLevel="0" collapsed="false">
      <c r="A191" s="92" t="s">
        <v>24</v>
      </c>
    </row>
    <row r="192" customFormat="false" ht="12.75" hidden="false" customHeight="false" outlineLevel="0" collapsed="false">
      <c r="A192" s="95" t="s">
        <v>14</v>
      </c>
      <c r="B192" s="351" t="n">
        <v>48993.5</v>
      </c>
      <c r="C192" s="351" t="n">
        <f aca="false">Forecast01!N196</f>
        <v>49395.7853444</v>
      </c>
      <c r="D192" s="306" t="n">
        <f aca="false">C192-B192</f>
        <v>402.285344399999</v>
      </c>
    </row>
    <row r="193" customFormat="false" ht="12.75" hidden="false" customHeight="false" outlineLevel="0" collapsed="false">
      <c r="A193" s="95" t="s">
        <v>16</v>
      </c>
      <c r="B193" s="351" t="n">
        <v>7681.4</v>
      </c>
      <c r="C193" s="351" t="n">
        <f aca="false">Forecast01!N197</f>
        <v>7007.1876</v>
      </c>
      <c r="D193" s="306" t="n">
        <f aca="false">C193-B193</f>
        <v>-674.212399999999</v>
      </c>
      <c r="E193" s="294" t="s">
        <v>323</v>
      </c>
    </row>
    <row r="194" customFormat="false" ht="12.75" hidden="false" customHeight="false" outlineLevel="0" collapsed="false">
      <c r="A194" s="95" t="s">
        <v>18</v>
      </c>
      <c r="B194" s="351" t="n">
        <v>3343.7</v>
      </c>
      <c r="C194" s="351" t="n">
        <f aca="false">Forecast01!N198</f>
        <v>3844.342901</v>
      </c>
      <c r="D194" s="306" t="n">
        <f aca="false">C194-B194</f>
        <v>500.642901</v>
      </c>
    </row>
    <row r="195" customFormat="false" ht="12.75" hidden="false" customHeight="false" outlineLevel="0" collapsed="false">
      <c r="A195" s="95" t="s">
        <v>20</v>
      </c>
      <c r="B195" s="351" t="n">
        <v>29.6</v>
      </c>
      <c r="C195" s="351" t="n">
        <f aca="false">Forecast01!N199</f>
        <v>58.4</v>
      </c>
      <c r="D195" s="306" t="n">
        <f aca="false">C195-B195</f>
        <v>28.8</v>
      </c>
    </row>
    <row r="196" customFormat="false" ht="12.75" hidden="false" customHeight="false" outlineLevel="0" collapsed="false">
      <c r="A196" s="95" t="s">
        <v>25</v>
      </c>
      <c r="C196" s="351" t="n">
        <f aca="false">Forecast01!N200</f>
        <v>46.5</v>
      </c>
      <c r="D196" s="306" t="n">
        <f aca="false">C196-B196</f>
        <v>46.5</v>
      </c>
    </row>
    <row r="197" customFormat="false" ht="12.75" hidden="false" customHeight="false" outlineLevel="0" collapsed="false">
      <c r="A197" s="95" t="s">
        <v>22</v>
      </c>
      <c r="B197" s="353" t="n">
        <v>5.7</v>
      </c>
      <c r="C197" s="353" t="n">
        <f aca="false">Forecast01!N201</f>
        <v>83.01</v>
      </c>
      <c r="D197" s="354" t="n">
        <f aca="false">C197-B197</f>
        <v>77.31</v>
      </c>
    </row>
    <row r="198" customFormat="false" ht="12.75" hidden="false" customHeight="false" outlineLevel="0" collapsed="false">
      <c r="A198" s="92" t="s">
        <v>26</v>
      </c>
      <c r="B198" s="351" t="n">
        <v>60053.9</v>
      </c>
      <c r="C198" s="351" t="n">
        <f aca="false">Forecast01!N202</f>
        <v>60435.2258454</v>
      </c>
      <c r="D198" s="306" t="n">
        <f aca="false">C198-B198</f>
        <v>381.325845400002</v>
      </c>
    </row>
    <row r="199" customFormat="false" ht="12.75" hidden="false" customHeight="false" outlineLevel="0" collapsed="false">
      <c r="A199" s="95"/>
    </row>
    <row r="200" customFormat="false" ht="12.75" hidden="false" customHeight="false" outlineLevel="0" collapsed="false">
      <c r="A200" s="92" t="s">
        <v>27</v>
      </c>
    </row>
    <row r="201" customFormat="false" ht="12.75" hidden="false" customHeight="false" outlineLevel="0" collapsed="false">
      <c r="A201" s="95" t="s">
        <v>14</v>
      </c>
      <c r="B201" s="351" t="n">
        <v>3202.4</v>
      </c>
      <c r="C201" s="351" t="n">
        <f aca="false">Forecast01!N205</f>
        <v>3438.1288</v>
      </c>
      <c r="D201" s="306" t="n">
        <f aca="false">C201-B201</f>
        <v>235.7288</v>
      </c>
    </row>
    <row r="202" customFormat="false" ht="12.75" hidden="false" customHeight="false" outlineLevel="0" collapsed="false">
      <c r="A202" s="95" t="s">
        <v>18</v>
      </c>
      <c r="B202" s="351" t="n">
        <v>365.5</v>
      </c>
      <c r="C202" s="351" t="n">
        <f aca="false">Forecast01!N206</f>
        <v>370.1712</v>
      </c>
      <c r="D202" s="306" t="n">
        <f aca="false">C202-B202</f>
        <v>4.6712</v>
      </c>
    </row>
    <row r="203" customFormat="false" ht="12.75" hidden="false" customHeight="false" outlineLevel="0" collapsed="false">
      <c r="A203" s="107"/>
      <c r="B203" s="351" t="n">
        <v>0</v>
      </c>
      <c r="C203" s="351" t="n">
        <f aca="false">Forecast01!N207</f>
        <v>0</v>
      </c>
      <c r="D203" s="306" t="n">
        <f aca="false">C203-B203</f>
        <v>0</v>
      </c>
    </row>
    <row r="204" customFormat="false" ht="12.75" hidden="false" customHeight="false" outlineLevel="0" collapsed="false">
      <c r="A204" s="95" t="s">
        <v>22</v>
      </c>
      <c r="B204" s="353" t="n">
        <v>0</v>
      </c>
      <c r="C204" s="353" t="n">
        <f aca="false">Forecast01!N208</f>
        <v>0</v>
      </c>
      <c r="D204" s="354" t="n">
        <f aca="false">C204-B204</f>
        <v>0</v>
      </c>
    </row>
    <row r="205" customFormat="false" ht="12.75" hidden="false" customHeight="false" outlineLevel="0" collapsed="false">
      <c r="A205" s="92" t="s">
        <v>28</v>
      </c>
      <c r="B205" s="351" t="n">
        <v>3567.9</v>
      </c>
      <c r="C205" s="351" t="n">
        <f aca="false">Forecast01!N209</f>
        <v>3808.3</v>
      </c>
      <c r="D205" s="306" t="n">
        <f aca="false">C205-B205</f>
        <v>240.4</v>
      </c>
    </row>
    <row r="206" customFormat="false" ht="12.75" hidden="false" customHeight="false" outlineLevel="0" collapsed="false">
      <c r="A206" s="95"/>
    </row>
    <row r="207" customFormat="false" ht="12.75" hidden="false" customHeight="false" outlineLevel="0" collapsed="false">
      <c r="A207" s="92" t="s">
        <v>29</v>
      </c>
    </row>
    <row r="208" customFormat="false" ht="12.75" hidden="false" customHeight="false" outlineLevel="0" collapsed="false">
      <c r="A208" s="95" t="s">
        <v>14</v>
      </c>
      <c r="B208" s="351" t="n">
        <v>7340.4</v>
      </c>
      <c r="C208" s="351" t="n">
        <f aca="false">Forecast01!N212</f>
        <v>14891.3560752</v>
      </c>
      <c r="D208" s="306" t="n">
        <f aca="false">C208-B208</f>
        <v>7550.9560752</v>
      </c>
    </row>
    <row r="209" customFormat="false" ht="12.75" hidden="false" customHeight="false" outlineLevel="0" collapsed="false">
      <c r="A209" s="95" t="s">
        <v>18</v>
      </c>
      <c r="B209" s="351" t="n">
        <v>833.6</v>
      </c>
      <c r="C209" s="351" t="n">
        <f aca="false">Forecast01!N213</f>
        <v>1265.5217748</v>
      </c>
      <c r="D209" s="306" t="n">
        <f aca="false">C209-B209</f>
        <v>431.9217748</v>
      </c>
    </row>
    <row r="210" customFormat="false" ht="12.75" hidden="false" customHeight="false" outlineLevel="0" collapsed="false">
      <c r="A210" s="95" t="s">
        <v>20</v>
      </c>
      <c r="B210" s="351" t="n">
        <v>0</v>
      </c>
      <c r="C210" s="351" t="n">
        <f aca="false">Forecast01!N214</f>
        <v>0</v>
      </c>
      <c r="D210" s="306" t="n">
        <f aca="false">C210-B210</f>
        <v>0</v>
      </c>
    </row>
    <row r="211" customFormat="false" ht="12.75" hidden="false" customHeight="false" outlineLevel="0" collapsed="false">
      <c r="A211" s="95" t="s">
        <v>30</v>
      </c>
      <c r="B211" s="351" t="n">
        <v>0</v>
      </c>
      <c r="C211" s="351" t="n">
        <f aca="false">Forecast01!N215</f>
        <v>1</v>
      </c>
      <c r="D211" s="306" t="n">
        <f aca="false">C211-B211</f>
        <v>1</v>
      </c>
    </row>
    <row r="212" customFormat="false" ht="12.75" hidden="false" customHeight="false" outlineLevel="0" collapsed="false">
      <c r="A212" s="95" t="s">
        <v>22</v>
      </c>
      <c r="B212" s="351" t="n">
        <v>21.7</v>
      </c>
      <c r="C212" s="351" t="n">
        <f aca="false">Forecast01!N216</f>
        <v>5</v>
      </c>
      <c r="D212" s="306" t="n">
        <f aca="false">C212-B212</f>
        <v>-16.7</v>
      </c>
    </row>
    <row r="213" customFormat="false" ht="12.75" hidden="false" customHeight="false" outlineLevel="0" collapsed="false">
      <c r="A213" s="92" t="s">
        <v>31</v>
      </c>
      <c r="B213" s="353" t="n">
        <v>8195.7</v>
      </c>
      <c r="C213" s="353" t="n">
        <f aca="false">Forecast01!N217</f>
        <v>16162.87785</v>
      </c>
      <c r="D213" s="354" t="n">
        <f aca="false">C213-B213</f>
        <v>7967.17785</v>
      </c>
    </row>
    <row r="214" customFormat="false" ht="12.75" hidden="false" customHeight="false" outlineLevel="0" collapsed="false">
      <c r="A214" s="110" t="s">
        <v>32</v>
      </c>
      <c r="B214" s="355" t="n">
        <v>96520</v>
      </c>
      <c r="C214" s="355" t="n">
        <f aca="false">Forecast01!N218</f>
        <v>103550.4212596</v>
      </c>
      <c r="D214" s="356" t="n">
        <f aca="false">C214-B214</f>
        <v>7030.4212596</v>
      </c>
    </row>
    <row r="215" customFormat="false" ht="12.75" hidden="false" customHeight="false" outlineLevel="0" collapsed="false">
      <c r="A215" s="110" t="s">
        <v>33</v>
      </c>
      <c r="B215" s="355" t="n">
        <v>7805.9</v>
      </c>
      <c r="C215" s="355" t="n">
        <f aca="false">Forecast01!N219</f>
        <v>15123.8860219</v>
      </c>
      <c r="D215" s="356" t="n">
        <f aca="false">C215-B215</f>
        <v>7317.9860219</v>
      </c>
    </row>
    <row r="216" customFormat="false" ht="12.75" hidden="false" customHeight="false" outlineLevel="0" collapsed="false">
      <c r="A216" s="110" t="s">
        <v>34</v>
      </c>
      <c r="B216" s="355" t="n">
        <v>104325.9</v>
      </c>
      <c r="C216" s="355" t="n">
        <f aca="false">Forecast01!N220</f>
        <v>118674.3072815</v>
      </c>
      <c r="D216" s="354" t="n">
        <f aca="false">C216-B216</f>
        <v>14348.4072815</v>
      </c>
    </row>
    <row r="217" customFormat="false" ht="12.75" hidden="false" customHeight="false" outlineLevel="0" collapsed="false">
      <c r="A217" s="113"/>
    </row>
    <row r="218" customFormat="false" ht="15.75" hidden="false" customHeight="false" outlineLevel="0" collapsed="false">
      <c r="A218" s="91" t="s">
        <v>35</v>
      </c>
    </row>
    <row r="219" customFormat="false" ht="12.75" hidden="false" customHeight="false" outlineLevel="0" collapsed="false">
      <c r="A219" s="92" t="s">
        <v>36</v>
      </c>
    </row>
    <row r="220" customFormat="false" ht="12.75" hidden="false" customHeight="false" outlineLevel="0" collapsed="false">
      <c r="A220" s="95" t="s">
        <v>14</v>
      </c>
      <c r="B220" s="351" t="n">
        <v>119.6</v>
      </c>
      <c r="C220" s="351" t="n">
        <f aca="false">Forecast01!N224</f>
        <v>260.5</v>
      </c>
      <c r="D220" s="306" t="n">
        <f aca="false">C220-B220</f>
        <v>140.9</v>
      </c>
    </row>
    <row r="221" customFormat="false" ht="12.75" hidden="false" customHeight="false" outlineLevel="0" collapsed="false">
      <c r="A221" s="95" t="s">
        <v>18</v>
      </c>
      <c r="B221" s="351" t="n">
        <v>31.4</v>
      </c>
      <c r="C221" s="351" t="n">
        <f aca="false">Forecast01!N225</f>
        <v>19.7</v>
      </c>
      <c r="D221" s="306" t="n">
        <f aca="false">C221-B221</f>
        <v>-11.7</v>
      </c>
    </row>
    <row r="222" customFormat="false" ht="12.75" hidden="false" customHeight="false" outlineLevel="0" collapsed="false">
      <c r="A222" s="95" t="s">
        <v>20</v>
      </c>
      <c r="B222" s="351" t="n">
        <v>0</v>
      </c>
      <c r="C222" s="351" t="n">
        <f aca="false">Forecast01!N226</f>
        <v>7.9</v>
      </c>
      <c r="D222" s="306" t="n">
        <f aca="false">C222-B222</f>
        <v>7.9</v>
      </c>
    </row>
    <row r="223" customFormat="false" ht="12.75" hidden="false" customHeight="false" outlineLevel="0" collapsed="false">
      <c r="A223" s="95" t="s">
        <v>22</v>
      </c>
      <c r="B223" s="353" t="n">
        <v>17.8</v>
      </c>
      <c r="C223" s="353" t="n">
        <f aca="false">Forecast01!N227</f>
        <v>73.7</v>
      </c>
      <c r="D223" s="354" t="n">
        <f aca="false">C223-B223</f>
        <v>55.9</v>
      </c>
    </row>
    <row r="224" customFormat="false" ht="12.75" hidden="false" customHeight="false" outlineLevel="0" collapsed="false">
      <c r="A224" s="92" t="s">
        <v>37</v>
      </c>
      <c r="B224" s="351" t="n">
        <v>168.7</v>
      </c>
      <c r="C224" s="351" t="n">
        <f aca="false">Forecast01!N228</f>
        <v>361.8</v>
      </c>
      <c r="D224" s="306" t="n">
        <f aca="false">C224-B224</f>
        <v>193.1</v>
      </c>
    </row>
    <row r="225" customFormat="false" ht="12.75" hidden="false" customHeight="false" outlineLevel="0" collapsed="false">
      <c r="A225" s="95"/>
    </row>
    <row r="226" customFormat="false" ht="12.75" hidden="false" customHeight="false" outlineLevel="0" collapsed="false">
      <c r="A226" s="92" t="s">
        <v>38</v>
      </c>
    </row>
    <row r="227" customFormat="false" ht="12.75" hidden="false" customHeight="false" outlineLevel="0" collapsed="false">
      <c r="A227" s="95" t="s">
        <v>14</v>
      </c>
      <c r="B227" s="351" t="n">
        <v>4373.8</v>
      </c>
      <c r="C227" s="351" t="n">
        <f aca="false">Forecast01!N231</f>
        <v>7499.5264420434</v>
      </c>
      <c r="D227" s="306" t="n">
        <f aca="false">C227-B227</f>
        <v>3125.7264420434</v>
      </c>
    </row>
    <row r="228" customFormat="false" ht="12.75" hidden="false" customHeight="false" outlineLevel="0" collapsed="false">
      <c r="A228" s="95" t="s">
        <v>18</v>
      </c>
      <c r="B228" s="351" t="n">
        <v>828.7</v>
      </c>
      <c r="C228" s="351" t="n">
        <f aca="false">Forecast01!N232</f>
        <v>990.7191279566</v>
      </c>
      <c r="D228" s="306" t="n">
        <f aca="false">C228-B228</f>
        <v>162.0191279566</v>
      </c>
    </row>
    <row r="229" customFormat="false" ht="12.75" hidden="false" customHeight="false" outlineLevel="0" collapsed="false">
      <c r="A229" s="95" t="s">
        <v>20</v>
      </c>
      <c r="B229" s="351" t="n">
        <v>0</v>
      </c>
      <c r="C229" s="351" t="n">
        <f aca="false">Forecast01!N233</f>
        <v>0</v>
      </c>
      <c r="D229" s="306" t="n">
        <f aca="false">C229-B229</f>
        <v>0</v>
      </c>
    </row>
    <row r="230" customFormat="false" ht="12.75" hidden="false" customHeight="false" outlineLevel="0" collapsed="false">
      <c r="A230" s="95" t="s">
        <v>39</v>
      </c>
      <c r="B230" s="351" t="n">
        <v>0</v>
      </c>
      <c r="C230" s="351" t="n">
        <f aca="false">Forecast01!N234</f>
        <v>40.9</v>
      </c>
      <c r="D230" s="306" t="n">
        <f aca="false">C230-B230</f>
        <v>40.9</v>
      </c>
    </row>
    <row r="231" customFormat="false" ht="12.75" hidden="false" customHeight="false" outlineLevel="0" collapsed="false">
      <c r="A231" s="95" t="s">
        <v>22</v>
      </c>
      <c r="B231" s="353" t="n">
        <v>468.1</v>
      </c>
      <c r="C231" s="353" t="n">
        <f aca="false">Forecast01!N235</f>
        <v>561.58345</v>
      </c>
      <c r="D231" s="354" t="n">
        <f aca="false">C231-B231</f>
        <v>93.48345</v>
      </c>
    </row>
    <row r="232" customFormat="false" ht="12.75" hidden="false" customHeight="false" outlineLevel="0" collapsed="false">
      <c r="A232" s="92" t="s">
        <v>40</v>
      </c>
      <c r="B232" s="351" t="n">
        <v>5670.6</v>
      </c>
      <c r="C232" s="351" t="n">
        <f aca="false">Forecast01!N236</f>
        <v>9092.72902</v>
      </c>
      <c r="D232" s="306" t="n">
        <f aca="false">C232-B232</f>
        <v>3422.12902</v>
      </c>
    </row>
    <row r="233" customFormat="false" ht="12.75" hidden="false" customHeight="false" outlineLevel="0" collapsed="false">
      <c r="A233" s="92"/>
    </row>
    <row r="234" customFormat="false" ht="12.75" hidden="false" customHeight="false" outlineLevel="0" collapsed="false">
      <c r="A234" s="92" t="s">
        <v>41</v>
      </c>
    </row>
    <row r="235" customFormat="false" ht="12.75" hidden="false" customHeight="false" outlineLevel="0" collapsed="false">
      <c r="A235" s="95" t="s">
        <v>14</v>
      </c>
      <c r="B235" s="351" t="n">
        <v>3064.5</v>
      </c>
      <c r="C235" s="351" t="n">
        <f aca="false">Forecast01!N239</f>
        <v>2999.62</v>
      </c>
      <c r="D235" s="306" t="n">
        <f aca="false">C235-B235</f>
        <v>-64.8800000000001</v>
      </c>
    </row>
    <row r="236" customFormat="false" ht="12.75" hidden="false" customHeight="false" outlineLevel="0" collapsed="false">
      <c r="A236" s="95" t="s">
        <v>18</v>
      </c>
      <c r="B236" s="351" t="n">
        <v>114.5</v>
      </c>
      <c r="C236" s="351" t="n">
        <f aca="false">Forecast01!N240</f>
        <v>108.062368</v>
      </c>
      <c r="D236" s="306" t="n">
        <f aca="false">C236-B236</f>
        <v>-6.43763200000001</v>
      </c>
    </row>
    <row r="237" customFormat="false" ht="12.75" hidden="false" customHeight="false" outlineLevel="0" collapsed="false">
      <c r="A237" s="95" t="s">
        <v>20</v>
      </c>
      <c r="B237" s="351" t="n">
        <v>0</v>
      </c>
      <c r="C237" s="351" t="n">
        <f aca="false">Forecast01!N241</f>
        <v>0</v>
      </c>
      <c r="D237" s="306" t="n">
        <f aca="false">C237-B237</f>
        <v>0</v>
      </c>
    </row>
    <row r="238" customFormat="false" ht="12.75" hidden="false" customHeight="false" outlineLevel="0" collapsed="false">
      <c r="A238" s="95" t="s">
        <v>22</v>
      </c>
      <c r="B238" s="353" t="n">
        <v>6.3</v>
      </c>
      <c r="C238" s="353" t="n">
        <f aca="false">Forecast01!N242</f>
        <v>110.7</v>
      </c>
      <c r="D238" s="354" t="n">
        <f aca="false">C238-B238</f>
        <v>104.4</v>
      </c>
    </row>
    <row r="239" customFormat="false" ht="12.75" hidden="false" customHeight="false" outlineLevel="0" collapsed="false">
      <c r="A239" s="92" t="s">
        <v>42</v>
      </c>
      <c r="B239" s="351" t="n">
        <v>3185.3</v>
      </c>
      <c r="C239" s="351" t="n">
        <f aca="false">Forecast01!N243</f>
        <v>3218.382368</v>
      </c>
      <c r="D239" s="306" t="n">
        <f aca="false">C239-B239</f>
        <v>33.0823679999994</v>
      </c>
    </row>
    <row r="240" customFormat="false" ht="12.75" hidden="false" customHeight="false" outlineLevel="0" collapsed="false">
      <c r="A240" s="95"/>
    </row>
    <row r="241" customFormat="false" ht="12.75" hidden="false" customHeight="false" outlineLevel="0" collapsed="false">
      <c r="A241" s="92" t="s">
        <v>43</v>
      </c>
    </row>
    <row r="242" customFormat="false" ht="12.75" hidden="false" customHeight="false" outlineLevel="0" collapsed="false">
      <c r="A242" s="95" t="s">
        <v>14</v>
      </c>
      <c r="B242" s="351" t="n">
        <v>6456.4</v>
      </c>
      <c r="C242" s="351" t="n">
        <f aca="false">Forecast01!N246</f>
        <v>5280.68112</v>
      </c>
      <c r="D242" s="306" t="n">
        <f aca="false">C242-B242</f>
        <v>-1175.71888</v>
      </c>
    </row>
    <row r="243" customFormat="false" ht="12.75" hidden="false" customHeight="false" outlineLevel="0" collapsed="false">
      <c r="A243" s="95" t="s">
        <v>18</v>
      </c>
      <c r="B243" s="351" t="n">
        <v>587.2</v>
      </c>
      <c r="C243" s="351" t="n">
        <f aca="false">Forecast01!N247</f>
        <v>403.51168</v>
      </c>
      <c r="D243" s="306" t="n">
        <f aca="false">C243-B243</f>
        <v>-183.68832</v>
      </c>
    </row>
    <row r="244" customFormat="false" ht="12.75" hidden="false" customHeight="false" outlineLevel="0" collapsed="false">
      <c r="A244" s="95" t="s">
        <v>20</v>
      </c>
      <c r="B244" s="351" t="n">
        <v>0.4</v>
      </c>
      <c r="C244" s="351" t="n">
        <f aca="false">Forecast01!N248</f>
        <v>0</v>
      </c>
      <c r="D244" s="306" t="n">
        <f aca="false">C244-B244</f>
        <v>-0.4</v>
      </c>
    </row>
    <row r="245" customFormat="false" ht="12.75" hidden="false" customHeight="false" outlineLevel="0" collapsed="false">
      <c r="A245" s="95" t="s">
        <v>22</v>
      </c>
      <c r="B245" s="351" t="n">
        <v>55.8</v>
      </c>
      <c r="C245" s="351" t="n">
        <f aca="false">Forecast01!N249</f>
        <v>219.47338</v>
      </c>
      <c r="D245" s="306" t="n">
        <f aca="false">C245-B245</f>
        <v>163.67338</v>
      </c>
    </row>
    <row r="246" customFormat="false" ht="12.75" hidden="false" customHeight="false" outlineLevel="0" collapsed="false">
      <c r="A246" s="92" t="s">
        <v>44</v>
      </c>
      <c r="B246" s="353" t="n">
        <v>7099.7</v>
      </c>
      <c r="C246" s="353" t="n">
        <f aca="false">Forecast01!N250</f>
        <v>5903.66618</v>
      </c>
      <c r="D246" s="354" t="n">
        <f aca="false">C246-B246</f>
        <v>-1196.03382</v>
      </c>
    </row>
    <row r="247" customFormat="false" ht="12.75" hidden="false" customHeight="false" outlineLevel="0" collapsed="false">
      <c r="A247" s="110" t="s">
        <v>45</v>
      </c>
      <c r="B247" s="355" t="n">
        <v>14014.3</v>
      </c>
      <c r="C247" s="355" t="n">
        <f aca="false">Forecast01!N251</f>
        <v>16040.3275620434</v>
      </c>
      <c r="D247" s="356" t="n">
        <f aca="false">C247-B247</f>
        <v>2026.0275620434</v>
      </c>
    </row>
    <row r="248" customFormat="false" ht="12.75" hidden="false" customHeight="false" outlineLevel="0" collapsed="false">
      <c r="A248" s="110" t="s">
        <v>46</v>
      </c>
      <c r="B248" s="355" t="n">
        <v>2191.8</v>
      </c>
      <c r="C248" s="355" t="n">
        <f aca="false">Forecast01!N252</f>
        <v>2536.2500059566</v>
      </c>
      <c r="D248" s="356" t="n">
        <f aca="false">C248-B248</f>
        <v>344.450005956599</v>
      </c>
    </row>
    <row r="249" customFormat="false" ht="12.75" hidden="false" customHeight="false" outlineLevel="0" collapsed="false">
      <c r="A249" s="110" t="s">
        <v>47</v>
      </c>
      <c r="B249" s="355" t="n">
        <v>16206</v>
      </c>
      <c r="C249" s="355" t="n">
        <f aca="false">Forecast01!N253</f>
        <v>18576.577568</v>
      </c>
      <c r="D249" s="356" t="n">
        <f aca="false">C249-B249</f>
        <v>2370.577568</v>
      </c>
    </row>
    <row r="250" customFormat="false" ht="12.75" hidden="false" customHeight="false" outlineLevel="0" collapsed="false">
      <c r="A250" s="113"/>
    </row>
    <row r="251" customFormat="false" ht="15.75" hidden="false" customHeight="false" outlineLevel="0" collapsed="false">
      <c r="A251" s="91" t="s">
        <v>48</v>
      </c>
    </row>
    <row r="252" customFormat="false" ht="12.75" hidden="false" customHeight="false" outlineLevel="0" collapsed="false">
      <c r="A252" s="92" t="s">
        <v>49</v>
      </c>
    </row>
    <row r="253" customFormat="false" ht="12.75" hidden="false" customHeight="false" outlineLevel="0" collapsed="false">
      <c r="A253" s="95" t="s">
        <v>14</v>
      </c>
      <c r="B253" s="351" t="n">
        <v>4788</v>
      </c>
      <c r="C253" s="351" t="n">
        <f aca="false">Forecast01!N257</f>
        <v>4632.6853944</v>
      </c>
      <c r="D253" s="306" t="n">
        <f aca="false">C253-B253</f>
        <v>-155.314605600001</v>
      </c>
    </row>
    <row r="254" customFormat="false" ht="12.75" hidden="false" customHeight="false" outlineLevel="0" collapsed="false">
      <c r="A254" s="95" t="s">
        <v>18</v>
      </c>
      <c r="B254" s="351" t="n">
        <v>106.8</v>
      </c>
      <c r="C254" s="351" t="n">
        <f aca="false">Forecast01!N258</f>
        <v>135.0046056</v>
      </c>
      <c r="D254" s="306" t="n">
        <f aca="false">C254-B254</f>
        <v>28.2046056</v>
      </c>
    </row>
    <row r="255" customFormat="false" ht="12.75" hidden="false" customHeight="false" outlineLevel="0" collapsed="false">
      <c r="A255" s="95" t="s">
        <v>20</v>
      </c>
      <c r="B255" s="351" t="n">
        <v>1</v>
      </c>
      <c r="C255" s="351" t="n">
        <f aca="false">Forecast01!N259</f>
        <v>1</v>
      </c>
      <c r="D255" s="306" t="n">
        <f aca="false">C255-B255</f>
        <v>0</v>
      </c>
    </row>
    <row r="256" customFormat="false" ht="12.75" hidden="false" customHeight="false" outlineLevel="0" collapsed="false">
      <c r="A256" s="95" t="s">
        <v>22</v>
      </c>
      <c r="B256" s="353" t="n">
        <v>197.9</v>
      </c>
      <c r="C256" s="353" t="n">
        <f aca="false">Forecast01!N260</f>
        <v>519.471</v>
      </c>
      <c r="D256" s="354" t="n">
        <f aca="false">C256-B256</f>
        <v>321.571</v>
      </c>
    </row>
    <row r="257" customFormat="false" ht="12.75" hidden="false" customHeight="false" outlineLevel="0" collapsed="false">
      <c r="A257" s="92" t="s">
        <v>50</v>
      </c>
      <c r="B257" s="351" t="n">
        <v>5093.7</v>
      </c>
      <c r="C257" s="351" t="n">
        <f aca="false">Forecast01!N261</f>
        <v>5288.161</v>
      </c>
      <c r="D257" s="306" t="n">
        <f aca="false">C257-B257</f>
        <v>194.461</v>
      </c>
    </row>
    <row r="258" customFormat="false" ht="12.75" hidden="false" customHeight="false" outlineLevel="0" collapsed="false">
      <c r="A258" s="95"/>
      <c r="D258" s="306" t="n">
        <f aca="false">C258-B258</f>
        <v>0</v>
      </c>
    </row>
    <row r="259" customFormat="false" ht="12.75" hidden="false" customHeight="false" outlineLevel="0" collapsed="false">
      <c r="A259" s="92" t="s">
        <v>51</v>
      </c>
      <c r="D259" s="306" t="n">
        <f aca="false">C259-B259</f>
        <v>0</v>
      </c>
    </row>
    <row r="260" customFormat="false" ht="12.75" hidden="false" customHeight="false" outlineLevel="0" collapsed="false">
      <c r="A260" s="95" t="s">
        <v>14</v>
      </c>
      <c r="B260" s="351" t="n">
        <v>3279.4</v>
      </c>
      <c r="C260" s="351" t="n">
        <f aca="false">Forecast01!N264</f>
        <v>4544.917598</v>
      </c>
      <c r="D260" s="306" t="n">
        <f aca="false">C260-B260</f>
        <v>1265.517598</v>
      </c>
    </row>
    <row r="261" customFormat="false" ht="12.75" hidden="false" customHeight="false" outlineLevel="0" collapsed="false">
      <c r="A261" s="95" t="s">
        <v>18</v>
      </c>
      <c r="B261" s="351" t="n">
        <v>164.4</v>
      </c>
      <c r="C261" s="351" t="n">
        <f aca="false">Forecast01!N265</f>
        <v>258.370402</v>
      </c>
      <c r="D261" s="306" t="n">
        <f aca="false">C261-B261</f>
        <v>93.970402</v>
      </c>
    </row>
    <row r="262" customFormat="false" ht="12.75" hidden="false" customHeight="false" outlineLevel="0" collapsed="false">
      <c r="A262" s="95" t="s">
        <v>20</v>
      </c>
      <c r="B262" s="351" t="n">
        <v>0</v>
      </c>
      <c r="C262" s="351" t="n">
        <f aca="false">Forecast01!N266</f>
        <v>0</v>
      </c>
      <c r="D262" s="306" t="n">
        <f aca="false">C262-B262</f>
        <v>0</v>
      </c>
    </row>
    <row r="263" customFormat="false" ht="12.75" hidden="false" customHeight="false" outlineLevel="0" collapsed="false">
      <c r="A263" s="95" t="s">
        <v>22</v>
      </c>
      <c r="B263" s="351" t="n">
        <v>618.8</v>
      </c>
      <c r="C263" s="351" t="n">
        <f aca="false">Forecast01!N267</f>
        <v>1136.64161</v>
      </c>
      <c r="D263" s="306" t="n">
        <f aca="false">C263-B263</f>
        <v>517.84161</v>
      </c>
    </row>
    <row r="264" customFormat="false" ht="12.75" hidden="false" customHeight="false" outlineLevel="0" collapsed="false">
      <c r="A264" s="92" t="s">
        <v>52</v>
      </c>
      <c r="B264" s="353" t="n">
        <v>4062.7</v>
      </c>
      <c r="C264" s="353" t="n">
        <f aca="false">Forecast01!N268</f>
        <v>5939.92961</v>
      </c>
      <c r="D264" s="354" t="n">
        <f aca="false">C264-B264</f>
        <v>1877.22961</v>
      </c>
    </row>
    <row r="265" customFormat="false" ht="12.75" hidden="false" customHeight="false" outlineLevel="0" collapsed="false">
      <c r="A265" s="110" t="s">
        <v>53</v>
      </c>
      <c r="B265" s="355" t="n">
        <v>8067.5</v>
      </c>
      <c r="C265" s="355" t="n">
        <f aca="false">Forecast01!N269</f>
        <v>9177.6029924</v>
      </c>
      <c r="D265" s="356" t="n">
        <f aca="false">C265-B265</f>
        <v>1110.1029924</v>
      </c>
    </row>
    <row r="266" customFormat="false" ht="12.75" hidden="false" customHeight="false" outlineLevel="0" collapsed="false">
      <c r="A266" s="110" t="s">
        <v>54</v>
      </c>
      <c r="B266" s="355" t="n">
        <v>1089</v>
      </c>
      <c r="C266" s="355" t="n">
        <f aca="false">Forecast01!N270</f>
        <v>2050.4876176</v>
      </c>
      <c r="D266" s="356" t="n">
        <f aca="false">C266-B266</f>
        <v>961.487617600002</v>
      </c>
    </row>
    <row r="267" customFormat="false" ht="12.75" hidden="false" customHeight="false" outlineLevel="0" collapsed="false">
      <c r="A267" s="110" t="s">
        <v>55</v>
      </c>
      <c r="B267" s="355" t="n">
        <v>9156.4</v>
      </c>
      <c r="C267" s="355" t="n">
        <f aca="false">Forecast01!N271</f>
        <v>11228.09061</v>
      </c>
      <c r="D267" s="356" t="n">
        <f aca="false">C267-B267</f>
        <v>2071.69061</v>
      </c>
    </row>
    <row r="268" customFormat="false" ht="12.75" hidden="false" customHeight="false" outlineLevel="0" collapsed="false">
      <c r="A268" s="113"/>
    </row>
    <row r="269" customFormat="false" ht="15.75" hidden="false" customHeight="false" outlineLevel="0" collapsed="false">
      <c r="A269" s="91" t="s">
        <v>56</v>
      </c>
    </row>
    <row r="270" customFormat="false" ht="12.75" hidden="false" customHeight="false" outlineLevel="0" collapsed="false">
      <c r="A270" s="92" t="s">
        <v>57</v>
      </c>
    </row>
    <row r="271" customFormat="false" ht="12.75" hidden="false" customHeight="false" outlineLevel="0" collapsed="false">
      <c r="A271" s="95" t="s">
        <v>14</v>
      </c>
      <c r="B271" s="351" t="n">
        <v>17634.3</v>
      </c>
      <c r="C271" s="351" t="n">
        <f aca="false">Forecast01!N275</f>
        <v>17885.255</v>
      </c>
      <c r="D271" s="306" t="n">
        <f aca="false">C271-B271</f>
        <v>250.955000000002</v>
      </c>
    </row>
    <row r="272" customFormat="false" ht="12.75" hidden="false" customHeight="false" outlineLevel="0" collapsed="false">
      <c r="A272" s="95" t="s">
        <v>18</v>
      </c>
      <c r="B272" s="351" t="n">
        <v>315.4</v>
      </c>
      <c r="C272" s="351" t="n">
        <f aca="false">Forecast01!N276</f>
        <v>165.722519</v>
      </c>
      <c r="D272" s="306" t="n">
        <f aca="false">C272-B272</f>
        <v>-149.677481</v>
      </c>
    </row>
    <row r="273" customFormat="false" ht="12.75" hidden="false" customHeight="false" outlineLevel="0" collapsed="false">
      <c r="A273" s="175" t="s">
        <v>58</v>
      </c>
      <c r="B273" s="351" t="n">
        <v>11.6</v>
      </c>
      <c r="C273" s="351" t="n">
        <f aca="false">Forecast01!N277</f>
        <v>17.4</v>
      </c>
      <c r="D273" s="306" t="n">
        <f aca="false">C273-B273</f>
        <v>5.8</v>
      </c>
    </row>
    <row r="274" customFormat="false" ht="12.75" hidden="false" customHeight="false" outlineLevel="0" collapsed="false">
      <c r="A274" s="95" t="s">
        <v>22</v>
      </c>
      <c r="B274" s="353" t="n">
        <v>1</v>
      </c>
      <c r="C274" s="353" t="n">
        <f aca="false">Forecast01!N278</f>
        <v>22.7</v>
      </c>
      <c r="D274" s="354" t="n">
        <f aca="false">C274-B274</f>
        <v>21.7</v>
      </c>
    </row>
    <row r="275" customFormat="false" ht="12.75" hidden="false" customHeight="false" outlineLevel="0" collapsed="false">
      <c r="A275" s="110" t="s">
        <v>59</v>
      </c>
      <c r="B275" s="351" t="n">
        <v>17634.3</v>
      </c>
      <c r="C275" s="351" t="n">
        <f aca="false">Forecast01!N279</f>
        <v>17885.255</v>
      </c>
      <c r="D275" s="306" t="n">
        <f aca="false">C275-B275</f>
        <v>250.955000000002</v>
      </c>
    </row>
    <row r="276" customFormat="false" ht="12.75" hidden="false" customHeight="false" outlineLevel="0" collapsed="false">
      <c r="A276" s="110" t="s">
        <v>60</v>
      </c>
      <c r="B276" s="353" t="n">
        <v>328</v>
      </c>
      <c r="C276" s="353" t="n">
        <f aca="false">Forecast01!N280</f>
        <v>205.822519</v>
      </c>
      <c r="D276" s="354" t="n">
        <f aca="false">C276-B276</f>
        <v>-122.177481</v>
      </c>
    </row>
    <row r="277" customFormat="false" ht="12.75" hidden="false" customHeight="false" outlineLevel="0" collapsed="false">
      <c r="A277" s="110" t="s">
        <v>61</v>
      </c>
      <c r="B277" s="351" t="n">
        <v>17962.3</v>
      </c>
      <c r="C277" s="351" t="n">
        <f aca="false">Forecast01!N281</f>
        <v>18091.077519</v>
      </c>
      <c r="D277" s="306" t="n">
        <f aca="false">C277-B277</f>
        <v>128.777519000003</v>
      </c>
    </row>
    <row r="278" customFormat="false" ht="12.75" hidden="false" customHeight="false" outlineLevel="0" collapsed="false">
      <c r="A278" s="113"/>
    </row>
    <row r="279" customFormat="false" ht="12.75" hidden="false" customHeight="false" outlineLevel="0" collapsed="false">
      <c r="A279" s="103"/>
    </row>
    <row r="280" customFormat="false" ht="15.75" hidden="false" customHeight="false" outlineLevel="0" collapsed="false">
      <c r="A280" s="128" t="s">
        <v>62</v>
      </c>
    </row>
    <row r="281" customFormat="false" ht="12.75" hidden="false" customHeight="false" outlineLevel="0" collapsed="false">
      <c r="A281" s="131" t="s">
        <v>14</v>
      </c>
      <c r="B281" s="351" t="n">
        <v>136236</v>
      </c>
      <c r="C281" s="351" t="n">
        <f aca="false">Forecast01!N285</f>
        <v>146653.606814043</v>
      </c>
      <c r="D281" s="306" t="n">
        <f aca="false">C281-B281</f>
        <v>10417.6068140434</v>
      </c>
    </row>
    <row r="282" customFormat="false" ht="12.75" hidden="false" customHeight="false" outlineLevel="0" collapsed="false">
      <c r="A282" s="131" t="s">
        <v>18</v>
      </c>
      <c r="B282" s="351" t="n">
        <v>9586.4</v>
      </c>
      <c r="C282" s="351" t="n">
        <f aca="false">Forecast01!N286</f>
        <v>11286.7667244566</v>
      </c>
      <c r="D282" s="306" t="n">
        <f aca="false">C282-B282</f>
        <v>1700.3667244566</v>
      </c>
    </row>
    <row r="283" customFormat="false" ht="12.75" hidden="false" customHeight="false" outlineLevel="0" collapsed="false">
      <c r="A283" s="131" t="s">
        <v>20</v>
      </c>
      <c r="B283" s="351" t="n">
        <v>311.7</v>
      </c>
      <c r="C283" s="351" t="n">
        <f aca="false">Forecast01!N287</f>
        <v>477.9</v>
      </c>
      <c r="D283" s="306" t="n">
        <f aca="false">C283-B283</f>
        <v>166.2</v>
      </c>
    </row>
    <row r="284" customFormat="false" ht="12.75" hidden="false" customHeight="false" outlineLevel="0" collapsed="false">
      <c r="A284" s="131" t="s">
        <v>63</v>
      </c>
      <c r="B284" s="351" t="n">
        <v>81.7</v>
      </c>
      <c r="C284" s="351" t="n">
        <f aca="false">Forecast01!N288</f>
        <v>40.9</v>
      </c>
      <c r="D284" s="306" t="n">
        <f aca="false">C284-B284</f>
        <v>-40.8</v>
      </c>
    </row>
    <row r="285" customFormat="false" ht="12.75" hidden="false" customHeight="false" outlineLevel="0" collapsed="false">
      <c r="A285" s="131" t="s">
        <v>64</v>
      </c>
      <c r="B285" s="351" t="n">
        <v>41.2</v>
      </c>
      <c r="C285" s="351" t="n">
        <f aca="false">Forecast01!N289</f>
        <v>47.5</v>
      </c>
      <c r="D285" s="306" t="n">
        <f aca="false">C285-B285</f>
        <v>6.3</v>
      </c>
    </row>
    <row r="286" customFormat="false" ht="12.75" hidden="false" customHeight="false" outlineLevel="0" collapsed="false">
      <c r="A286" s="131" t="s">
        <v>22</v>
      </c>
      <c r="B286" s="351" t="n">
        <v>1393.7</v>
      </c>
      <c r="C286" s="351" t="n">
        <f aca="false">Forecast01!N290</f>
        <v>8063.37944</v>
      </c>
      <c r="D286" s="306" t="n">
        <f aca="false">C286-B286</f>
        <v>6669.67944</v>
      </c>
    </row>
    <row r="287" customFormat="false" ht="12.75" hidden="false" customHeight="false" outlineLevel="0" collapsed="false">
      <c r="A287" s="110" t="s">
        <v>65</v>
      </c>
      <c r="B287" s="353" t="n">
        <v>136236</v>
      </c>
      <c r="C287" s="353" t="n">
        <f aca="false">Forecast01!N291</f>
        <v>146653.606814043</v>
      </c>
      <c r="D287" s="354" t="n">
        <f aca="false">C287-B287</f>
        <v>10417.6068140434</v>
      </c>
    </row>
    <row r="288" customFormat="false" ht="12.75" hidden="false" customHeight="false" outlineLevel="0" collapsed="false">
      <c r="A288" s="110" t="s">
        <v>66</v>
      </c>
      <c r="B288" s="355" t="n">
        <v>11414.6</v>
      </c>
      <c r="C288" s="355" t="n">
        <f aca="false">Forecast01!N292</f>
        <v>19916.4461644566</v>
      </c>
      <c r="D288" s="356" t="n">
        <f aca="false">C288-B288</f>
        <v>8501.8461644566</v>
      </c>
    </row>
    <row r="289" customFormat="false" ht="12.75" hidden="false" customHeight="false" outlineLevel="0" collapsed="false">
      <c r="A289" s="110" t="s">
        <v>67</v>
      </c>
      <c r="B289" s="355" t="n">
        <v>147650.6</v>
      </c>
      <c r="C289" s="355" t="n">
        <f aca="false">Forecast01!N293</f>
        <v>166570.0529785</v>
      </c>
      <c r="D289" s="356" t="n">
        <f aca="false">C289-B289</f>
        <v>18919.4529785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6" ySplit="7" topLeftCell="G337" activePane="bottomRight" state="frozen"/>
      <selection pane="topLeft" activeCell="A1" activeCellId="0" sqref="A1"/>
      <selection pane="topRight" activeCell="G1" activeCellId="0" sqref="G1"/>
      <selection pane="bottomLeft" activeCell="A337" activeCellId="0" sqref="A337"/>
      <selection pane="bottomRight" activeCell="K361" activeCellId="0" sqref="K361"/>
    </sheetView>
  </sheetViews>
  <sheetFormatPr defaultColWidth="18.9921875" defaultRowHeight="12.75" customHeight="true" zeroHeight="false" outlineLevelRow="0" outlineLevelCol="0"/>
  <cols>
    <col collapsed="false" customWidth="true" hidden="false" outlineLevel="0" max="1" min="1" style="294" width="14.38"/>
    <col collapsed="false" customWidth="true" hidden="false" outlineLevel="0" max="2" min="2" style="294" width="25.39"/>
    <col collapsed="false" customWidth="false" hidden="false" outlineLevel="0" max="3" min="3" style="294" width="18.98"/>
    <col collapsed="false" customWidth="true" hidden="false" outlineLevel="0" max="4" min="4" style="294" width="16.78"/>
    <col collapsed="false" customWidth="true" hidden="false" outlineLevel="0" max="5" min="5" style="359" width="13.39"/>
    <col collapsed="false" customWidth="true" hidden="false" outlineLevel="0" max="6" min="6" style="294" width="24.59"/>
    <col collapsed="false" customWidth="true" hidden="false" outlineLevel="0" max="7" min="7" style="294" width="18.19"/>
    <col collapsed="false" customWidth="true" hidden="false" outlineLevel="0" max="8" min="8" style="359" width="18.59"/>
    <col collapsed="false" customWidth="true" hidden="false" outlineLevel="0" max="9" min="9" style="360" width="16.59"/>
    <col collapsed="false" customWidth="true" hidden="false" outlineLevel="0" max="10" min="10" style="294" width="15.78"/>
    <col collapsed="false" customWidth="true" hidden="false" outlineLevel="0" max="11" min="11" style="357" width="15.78"/>
    <col collapsed="false" customWidth="true" hidden="false" outlineLevel="0" max="12" min="12" style="294" width="18.38"/>
    <col collapsed="false" customWidth="true" hidden="false" outlineLevel="0" max="13" min="13" style="361" width="15.78"/>
    <col collapsed="false" customWidth="true" hidden="false" outlineLevel="0" max="25" min="14" style="360" width="20.98"/>
    <col collapsed="false" customWidth="true" hidden="false" outlineLevel="0" max="26" min="26" style="294" width="24.19"/>
    <col collapsed="false" customWidth="false" hidden="false" outlineLevel="0" max="257" min="27" style="294" width="18.98"/>
  </cols>
  <sheetData>
    <row r="1" customFormat="false" ht="12.75" hidden="false" customHeight="true" outlineLevel="0" collapsed="false">
      <c r="N1" s="360" t="n">
        <v>31</v>
      </c>
      <c r="O1" s="360" t="n">
        <v>28</v>
      </c>
      <c r="P1" s="360" t="n">
        <v>31</v>
      </c>
      <c r="Q1" s="360" t="n">
        <v>30</v>
      </c>
      <c r="R1" s="360" t="n">
        <v>31</v>
      </c>
      <c r="S1" s="360" t="n">
        <v>30</v>
      </c>
      <c r="T1" s="360" t="n">
        <v>31</v>
      </c>
      <c r="U1" s="360" t="n">
        <v>31</v>
      </c>
      <c r="V1" s="360" t="n">
        <v>30</v>
      </c>
      <c r="W1" s="360" t="n">
        <v>31</v>
      </c>
      <c r="X1" s="360" t="n">
        <v>30</v>
      </c>
      <c r="Y1" s="360" t="n">
        <v>31</v>
      </c>
    </row>
    <row r="3" customFormat="false" ht="12.75" hidden="false" customHeight="true" outlineLevel="0" collapsed="false">
      <c r="AB3" s="294" t="s">
        <v>159</v>
      </c>
      <c r="AC3" s="294" t="s">
        <v>324</v>
      </c>
      <c r="AD3" s="294" t="s">
        <v>324</v>
      </c>
      <c r="AE3" s="294" t="s">
        <v>244</v>
      </c>
      <c r="AF3" s="294" t="s">
        <v>325</v>
      </c>
    </row>
    <row r="4" customFormat="false" ht="12.75" hidden="false" customHeight="true" outlineLevel="0" collapsed="false">
      <c r="N4" s="362" t="s">
        <v>233</v>
      </c>
      <c r="O4" s="362" t="s">
        <v>234</v>
      </c>
      <c r="P4" s="362" t="s">
        <v>98</v>
      </c>
      <c r="Q4" s="362" t="s">
        <v>99</v>
      </c>
      <c r="R4" s="362" t="s">
        <v>100</v>
      </c>
      <c r="S4" s="362" t="s">
        <v>101</v>
      </c>
      <c r="T4" s="362" t="s">
        <v>102</v>
      </c>
      <c r="U4" s="362" t="s">
        <v>239</v>
      </c>
      <c r="V4" s="362" t="s">
        <v>326</v>
      </c>
      <c r="W4" s="362" t="s">
        <v>241</v>
      </c>
      <c r="X4" s="362" t="s">
        <v>242</v>
      </c>
      <c r="Y4" s="362" t="s">
        <v>243</v>
      </c>
      <c r="Z4" s="363" t="s">
        <v>244</v>
      </c>
      <c r="AB4" s="294" t="s">
        <v>327</v>
      </c>
      <c r="AC4" s="294" t="s">
        <v>244</v>
      </c>
      <c r="AD4" s="294" t="s">
        <v>328</v>
      </c>
      <c r="AE4" s="294" t="s">
        <v>329</v>
      </c>
      <c r="AF4" s="294" t="s">
        <v>330</v>
      </c>
    </row>
    <row r="6" customFormat="false" ht="12.75" hidden="false" customHeight="true" outlineLevel="0" collapsed="false">
      <c r="A6" s="363"/>
      <c r="B6" s="363"/>
      <c r="C6" s="363" t="s">
        <v>331</v>
      </c>
      <c r="D6" s="363"/>
      <c r="E6" s="363"/>
      <c r="F6" s="363"/>
      <c r="G6" s="363"/>
      <c r="H6" s="363"/>
      <c r="I6" s="362"/>
      <c r="J6" s="363"/>
      <c r="K6" s="364" t="s">
        <v>332</v>
      </c>
      <c r="L6" s="363" t="s">
        <v>329</v>
      </c>
      <c r="M6" s="363" t="s">
        <v>333</v>
      </c>
    </row>
    <row r="7" customFormat="false" ht="12.75" hidden="false" customHeight="true" outlineLevel="0" collapsed="false">
      <c r="A7" s="365" t="s">
        <v>334</v>
      </c>
      <c r="B7" s="365" t="s">
        <v>335</v>
      </c>
      <c r="C7" s="365" t="s">
        <v>6</v>
      </c>
      <c r="D7" s="365" t="s">
        <v>336</v>
      </c>
      <c r="E7" s="365" t="s">
        <v>337</v>
      </c>
      <c r="F7" s="365" t="s">
        <v>338</v>
      </c>
      <c r="G7" s="365" t="s">
        <v>339</v>
      </c>
      <c r="H7" s="365" t="s">
        <v>340</v>
      </c>
      <c r="I7" s="366" t="s">
        <v>341</v>
      </c>
      <c r="J7" s="365"/>
      <c r="K7" s="367" t="s">
        <v>225</v>
      </c>
      <c r="L7" s="365" t="s">
        <v>225</v>
      </c>
      <c r="M7" s="365" t="s">
        <v>342</v>
      </c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</row>
    <row r="9" customFormat="false" ht="12.75" hidden="false" customHeight="true" outlineLevel="0" collapsed="false">
      <c r="A9" s="294" t="s">
        <v>343</v>
      </c>
      <c r="B9" s="294" t="s">
        <v>344</v>
      </c>
      <c r="C9" s="294" t="s">
        <v>5</v>
      </c>
      <c r="D9" s="294" t="s">
        <v>332</v>
      </c>
      <c r="E9" s="369" t="n">
        <v>26751</v>
      </c>
      <c r="F9" s="370" t="s">
        <v>345</v>
      </c>
      <c r="G9" s="371" t="n">
        <v>36557</v>
      </c>
      <c r="H9" s="372" t="n">
        <v>36922</v>
      </c>
      <c r="I9" s="373" t="n">
        <v>20000</v>
      </c>
      <c r="M9" s="361" t="s">
        <v>346</v>
      </c>
      <c r="N9" s="360" t="n">
        <f aca="false">$I$9*N$1</f>
        <v>620000</v>
      </c>
    </row>
    <row r="10" customFormat="false" ht="12.75" hidden="false" customHeight="true" outlineLevel="0" collapsed="false">
      <c r="A10" s="294" t="s">
        <v>343</v>
      </c>
      <c r="B10" s="294" t="s">
        <v>344</v>
      </c>
      <c r="C10" s="294" t="s">
        <v>5</v>
      </c>
      <c r="D10" s="294" t="s">
        <v>332</v>
      </c>
      <c r="E10" s="374" t="n">
        <v>27293</v>
      </c>
      <c r="F10" s="294" t="s">
        <v>347</v>
      </c>
      <c r="G10" s="375" t="n">
        <v>36831</v>
      </c>
      <c r="H10" s="376" t="n">
        <v>37195</v>
      </c>
      <c r="I10" s="360" t="n">
        <v>49000</v>
      </c>
      <c r="M10" s="361" t="s">
        <v>346</v>
      </c>
      <c r="N10" s="360" t="n">
        <f aca="false">$I$10*N$1</f>
        <v>1519000</v>
      </c>
      <c r="O10" s="360" t="n">
        <f aca="false">$I$10*O$1</f>
        <v>1372000</v>
      </c>
      <c r="P10" s="360" t="n">
        <f aca="false">$I$10*P$1</f>
        <v>1519000</v>
      </c>
      <c r="Q10" s="360" t="n">
        <f aca="false">$I$10*Q$1</f>
        <v>1470000</v>
      </c>
      <c r="R10" s="360" t="n">
        <f aca="false">$I$10*R$1</f>
        <v>1519000</v>
      </c>
      <c r="S10" s="360" t="n">
        <f aca="false">$I$10*S$1</f>
        <v>1470000</v>
      </c>
      <c r="T10" s="360" t="n">
        <f aca="false">$I$10*T$1</f>
        <v>1519000</v>
      </c>
      <c r="U10" s="360" t="n">
        <f aca="false">$I$10*U$1</f>
        <v>1519000</v>
      </c>
      <c r="V10" s="360" t="n">
        <f aca="false">$I$10*V$1</f>
        <v>1470000</v>
      </c>
      <c r="W10" s="360" t="n">
        <f aca="false">$I$10*W$1</f>
        <v>1519000</v>
      </c>
    </row>
    <row r="11" customFormat="false" ht="12.75" hidden="false" customHeight="true" outlineLevel="0" collapsed="false">
      <c r="A11" s="294" t="s">
        <v>343</v>
      </c>
      <c r="B11" s="294" t="s">
        <v>344</v>
      </c>
      <c r="C11" s="294" t="s">
        <v>5</v>
      </c>
      <c r="D11" s="294" t="s">
        <v>332</v>
      </c>
      <c r="E11" s="374" t="n">
        <v>27252</v>
      </c>
      <c r="F11" s="294" t="s">
        <v>348</v>
      </c>
      <c r="G11" s="377" t="s">
        <v>349</v>
      </c>
      <c r="H11" s="378" t="n">
        <v>40482</v>
      </c>
      <c r="I11" s="360" t="n">
        <v>14000</v>
      </c>
      <c r="M11" s="361" t="s">
        <v>346</v>
      </c>
      <c r="N11" s="360" t="n">
        <f aca="false">$I$11*N$1</f>
        <v>434000</v>
      </c>
      <c r="O11" s="360" t="n">
        <f aca="false">$I$11*O$1</f>
        <v>392000</v>
      </c>
      <c r="P11" s="360" t="n">
        <f aca="false">$I$11*P$1</f>
        <v>434000</v>
      </c>
      <c r="X11" s="360" t="n">
        <f aca="false">$I$11*X$1</f>
        <v>420000</v>
      </c>
      <c r="Y11" s="360" t="n">
        <f aca="false">$I$11*Y$1</f>
        <v>434000</v>
      </c>
    </row>
    <row r="12" customFormat="false" ht="12.75" hidden="false" customHeight="true" outlineLevel="0" collapsed="false">
      <c r="A12" s="294" t="s">
        <v>343</v>
      </c>
      <c r="B12" s="294" t="s">
        <v>344</v>
      </c>
      <c r="C12" s="294" t="s">
        <v>5</v>
      </c>
      <c r="D12" s="294" t="s">
        <v>332</v>
      </c>
      <c r="E12" s="374" t="n">
        <v>26490</v>
      </c>
      <c r="F12" s="294" t="s">
        <v>350</v>
      </c>
      <c r="G12" s="375" t="n">
        <v>36100</v>
      </c>
      <c r="H12" s="376" t="n">
        <v>37925</v>
      </c>
      <c r="I12" s="360" t="n">
        <v>70000</v>
      </c>
      <c r="M12" s="361" t="s">
        <v>346</v>
      </c>
      <c r="N12" s="360" t="n">
        <f aca="false">$I$12*N$1</f>
        <v>2170000</v>
      </c>
      <c r="O12" s="360" t="n">
        <f aca="false">$I$12*O$1</f>
        <v>1960000</v>
      </c>
      <c r="P12" s="360" t="n">
        <f aca="false">$I$12*P$1</f>
        <v>2170000</v>
      </c>
      <c r="Q12" s="360" t="n">
        <f aca="false">$I$12*Q$1</f>
        <v>2100000</v>
      </c>
      <c r="R12" s="360" t="n">
        <f aca="false">$I$12*R$1</f>
        <v>2170000</v>
      </c>
      <c r="S12" s="360" t="n">
        <f aca="false">$I$12*S$1</f>
        <v>2100000</v>
      </c>
      <c r="T12" s="360" t="n">
        <f aca="false">$I$12*T$1</f>
        <v>2170000</v>
      </c>
      <c r="U12" s="360" t="n">
        <f aca="false">$I$12*U$1</f>
        <v>2170000</v>
      </c>
      <c r="V12" s="360" t="n">
        <f aca="false">$I$12*V$1</f>
        <v>2100000</v>
      </c>
      <c r="W12" s="360" t="n">
        <f aca="false">$I$12*W$1</f>
        <v>2170000</v>
      </c>
      <c r="X12" s="360" t="n">
        <f aca="false">$I$12*X$1</f>
        <v>2100000</v>
      </c>
      <c r="Y12" s="360" t="n">
        <f aca="false">$I$12*Y$1</f>
        <v>2170000</v>
      </c>
    </row>
    <row r="13" customFormat="false" ht="12.75" hidden="false" customHeight="true" outlineLevel="0" collapsed="false">
      <c r="A13" s="294" t="s">
        <v>343</v>
      </c>
      <c r="B13" s="294" t="s">
        <v>344</v>
      </c>
      <c r="C13" s="294" t="s">
        <v>5</v>
      </c>
      <c r="D13" s="294" t="s">
        <v>332</v>
      </c>
      <c r="E13" s="359" t="n">
        <v>8255</v>
      </c>
      <c r="F13" s="294" t="s">
        <v>351</v>
      </c>
      <c r="H13" s="378" t="n">
        <v>38656</v>
      </c>
      <c r="I13" s="360" t="n">
        <v>306000</v>
      </c>
      <c r="M13" s="361" t="s">
        <v>352</v>
      </c>
      <c r="N13" s="360" t="n">
        <f aca="false">$I$13*N$1</f>
        <v>9486000</v>
      </c>
      <c r="O13" s="360" t="n">
        <f aca="false">$I$13*O$1</f>
        <v>8568000</v>
      </c>
      <c r="P13" s="360" t="n">
        <f aca="false">$I$13*P$1</f>
        <v>9486000</v>
      </c>
      <c r="Q13" s="360" t="n">
        <f aca="false">$I$13*Q$1</f>
        <v>9180000</v>
      </c>
      <c r="R13" s="360" t="n">
        <f aca="false">$I$13*R$1</f>
        <v>9486000</v>
      </c>
      <c r="S13" s="360" t="n">
        <f aca="false">$I$13*S$1</f>
        <v>9180000</v>
      </c>
      <c r="T13" s="360" t="n">
        <f aca="false">$I$13*T$1</f>
        <v>9486000</v>
      </c>
      <c r="U13" s="360" t="n">
        <f aca="false">$I$13*U$1</f>
        <v>9486000</v>
      </c>
      <c r="V13" s="360" t="n">
        <f aca="false">$I$13*V$1</f>
        <v>9180000</v>
      </c>
      <c r="W13" s="360" t="n">
        <f aca="false">$I$13*W$1</f>
        <v>9486000</v>
      </c>
      <c r="X13" s="360" t="n">
        <f aca="false">$I$13*X$1</f>
        <v>9180000</v>
      </c>
      <c r="Y13" s="360" t="n">
        <f aca="false">$I$13*Y$1</f>
        <v>9486000</v>
      </c>
    </row>
    <row r="14" customFormat="false" ht="12.75" hidden="false" customHeight="true" outlineLevel="0" collapsed="false">
      <c r="A14" s="294" t="s">
        <v>343</v>
      </c>
      <c r="B14" s="294" t="s">
        <v>344</v>
      </c>
      <c r="C14" s="294" t="s">
        <v>5</v>
      </c>
      <c r="D14" s="294" t="s">
        <v>332</v>
      </c>
      <c r="E14" s="359" t="n">
        <v>25841</v>
      </c>
      <c r="F14" s="294" t="s">
        <v>353</v>
      </c>
      <c r="G14" s="375" t="n">
        <v>36557</v>
      </c>
      <c r="H14" s="378" t="n">
        <v>37560</v>
      </c>
      <c r="I14" s="360" t="n">
        <v>40000</v>
      </c>
      <c r="M14" s="361" t="s">
        <v>346</v>
      </c>
      <c r="N14" s="360" t="n">
        <f aca="false">$I$14*N$1</f>
        <v>1240000</v>
      </c>
      <c r="O14" s="360" t="n">
        <f aca="false">$I$14*O$1</f>
        <v>1120000</v>
      </c>
      <c r="P14" s="360" t="n">
        <f aca="false">$I$14*P$1</f>
        <v>1240000</v>
      </c>
      <c r="Q14" s="360" t="n">
        <f aca="false">$I$14*Q$1</f>
        <v>1200000</v>
      </c>
      <c r="R14" s="360" t="n">
        <f aca="false">$I$14*R$1</f>
        <v>1240000</v>
      </c>
      <c r="S14" s="360" t="n">
        <f aca="false">$I$14*S$1</f>
        <v>1200000</v>
      </c>
      <c r="T14" s="360" t="n">
        <f aca="false">$I$14*T$1</f>
        <v>1240000</v>
      </c>
      <c r="U14" s="360" t="n">
        <f aca="false">$I$14*U$1</f>
        <v>1240000</v>
      </c>
      <c r="V14" s="360" t="n">
        <f aca="false">$I$14*V$1</f>
        <v>1200000</v>
      </c>
      <c r="W14" s="360" t="n">
        <f aca="false">$I$14*W$1</f>
        <v>1240000</v>
      </c>
      <c r="X14" s="360" t="n">
        <f aca="false">$I$14*X$1</f>
        <v>1200000</v>
      </c>
      <c r="Y14" s="360" t="n">
        <f aca="false">$I$14*Y$1</f>
        <v>1240000</v>
      </c>
    </row>
    <row r="15" customFormat="false" ht="12.75" hidden="false" customHeight="true" outlineLevel="0" collapsed="false">
      <c r="A15" s="370" t="s">
        <v>343</v>
      </c>
      <c r="B15" s="370" t="s">
        <v>344</v>
      </c>
      <c r="C15" s="370" t="s">
        <v>5</v>
      </c>
      <c r="D15" s="370" t="s">
        <v>332</v>
      </c>
      <c r="E15" s="379" t="n">
        <v>27340</v>
      </c>
      <c r="F15" s="380" t="s">
        <v>354</v>
      </c>
      <c r="G15" s="379" t="s">
        <v>355</v>
      </c>
      <c r="H15" s="376" t="n">
        <v>37287</v>
      </c>
      <c r="I15" s="381" t="n">
        <v>20000</v>
      </c>
      <c r="M15" s="382" t="s">
        <v>346</v>
      </c>
      <c r="O15" s="373" t="n">
        <f aca="false">$I$15*O$1</f>
        <v>560000</v>
      </c>
      <c r="P15" s="373" t="n">
        <f aca="false">$I$15*P$1</f>
        <v>620000</v>
      </c>
      <c r="Q15" s="373" t="n">
        <f aca="false">$I$15*Q$1</f>
        <v>600000</v>
      </c>
      <c r="R15" s="373" t="n">
        <f aca="false">$I$15*R$1</f>
        <v>620000</v>
      </c>
      <c r="S15" s="373" t="n">
        <f aca="false">$I$15*S$1</f>
        <v>600000</v>
      </c>
      <c r="T15" s="373" t="n">
        <f aca="false">$I$15*T$1</f>
        <v>620000</v>
      </c>
      <c r="U15" s="373" t="n">
        <f aca="false">$I$15*U$1</f>
        <v>620000</v>
      </c>
      <c r="V15" s="373" t="n">
        <f aca="false">$I$15*V$1</f>
        <v>600000</v>
      </c>
      <c r="W15" s="373" t="n">
        <f aca="false">$I$15*W$1</f>
        <v>620000</v>
      </c>
      <c r="X15" s="373" t="n">
        <f aca="false">$I$15*X$1</f>
        <v>600000</v>
      </c>
      <c r="Y15" s="373" t="n">
        <f aca="false">$I$15*Y$1</f>
        <v>620000</v>
      </c>
    </row>
    <row r="16" customFormat="false" ht="12.75" hidden="false" customHeight="true" outlineLevel="0" collapsed="false">
      <c r="A16" s="294" t="s">
        <v>343</v>
      </c>
      <c r="B16" s="294" t="s">
        <v>344</v>
      </c>
      <c r="C16" s="294" t="s">
        <v>5</v>
      </c>
      <c r="D16" s="294" t="s">
        <v>332</v>
      </c>
      <c r="E16" s="359" t="n">
        <v>26511</v>
      </c>
      <c r="F16" s="294" t="s">
        <v>353</v>
      </c>
      <c r="G16" s="375" t="n">
        <v>36465</v>
      </c>
      <c r="H16" s="378" t="n">
        <v>37560</v>
      </c>
      <c r="I16" s="360" t="n">
        <v>21000</v>
      </c>
      <c r="M16" s="361" t="s">
        <v>346</v>
      </c>
      <c r="N16" s="360" t="n">
        <f aca="false">$I$16*N$1</f>
        <v>651000</v>
      </c>
      <c r="O16" s="360" t="n">
        <f aca="false">$I$16*O$1</f>
        <v>588000</v>
      </c>
      <c r="P16" s="360" t="n">
        <f aca="false">$I$16*P$1</f>
        <v>651000</v>
      </c>
      <c r="Q16" s="360" t="n">
        <f aca="false">$I$16*Q$1</f>
        <v>630000</v>
      </c>
      <c r="R16" s="360" t="n">
        <f aca="false">$I$16*R$1</f>
        <v>651000</v>
      </c>
      <c r="S16" s="360" t="n">
        <f aca="false">$I$16*S$1</f>
        <v>630000</v>
      </c>
      <c r="T16" s="360" t="n">
        <f aca="false">$I$16*T$1</f>
        <v>651000</v>
      </c>
      <c r="U16" s="360" t="n">
        <f aca="false">$I$16*U$1</f>
        <v>651000</v>
      </c>
      <c r="V16" s="360" t="n">
        <f aca="false">$I$16*V$1</f>
        <v>630000</v>
      </c>
      <c r="W16" s="360" t="n">
        <f aca="false">$I$16*W$1</f>
        <v>651000</v>
      </c>
      <c r="X16" s="360" t="n">
        <f aca="false">$I$16*X$1</f>
        <v>630000</v>
      </c>
      <c r="Y16" s="360" t="n">
        <f aca="false">$I$16*Y$1</f>
        <v>651000</v>
      </c>
    </row>
    <row r="17" customFormat="false" ht="12.75" hidden="false" customHeight="true" outlineLevel="0" collapsed="false">
      <c r="A17" s="294" t="s">
        <v>343</v>
      </c>
      <c r="B17" s="294" t="s">
        <v>344</v>
      </c>
      <c r="C17" s="294" t="s">
        <v>5</v>
      </c>
      <c r="D17" s="294" t="s">
        <v>332</v>
      </c>
      <c r="E17" s="359" t="n">
        <v>26683</v>
      </c>
      <c r="F17" s="294" t="s">
        <v>356</v>
      </c>
      <c r="G17" s="375" t="n">
        <v>36220</v>
      </c>
      <c r="H17" s="376" t="n">
        <v>37346</v>
      </c>
      <c r="I17" s="360" t="n">
        <v>8000</v>
      </c>
      <c r="M17" s="361" t="s">
        <v>346</v>
      </c>
      <c r="N17" s="360" t="n">
        <f aca="false">$I$17*N$1</f>
        <v>248000</v>
      </c>
      <c r="O17" s="360" t="n">
        <f aca="false">$I$17*O$1</f>
        <v>224000</v>
      </c>
      <c r="P17" s="360" t="n">
        <f aca="false">$I$17*P$1</f>
        <v>248000</v>
      </c>
    </row>
    <row r="18" customFormat="false" ht="12.75" hidden="false" customHeight="true" outlineLevel="0" collapsed="false">
      <c r="A18" s="294" t="s">
        <v>343</v>
      </c>
      <c r="B18" s="294" t="s">
        <v>344</v>
      </c>
      <c r="C18" s="294" t="s">
        <v>5</v>
      </c>
      <c r="D18" s="294" t="s">
        <v>332</v>
      </c>
      <c r="E18" s="359" t="n">
        <v>26758</v>
      </c>
      <c r="F18" s="294" t="s">
        <v>357</v>
      </c>
      <c r="G18" s="375" t="n">
        <v>36647</v>
      </c>
      <c r="H18" s="378" t="n">
        <v>38472</v>
      </c>
      <c r="I18" s="360" t="n">
        <v>40000</v>
      </c>
      <c r="M18" s="361" t="s">
        <v>346</v>
      </c>
      <c r="N18" s="360" t="n">
        <f aca="false">$I$18*N$1</f>
        <v>1240000</v>
      </c>
      <c r="O18" s="360" t="n">
        <f aca="false">$I$18*O$1</f>
        <v>1120000</v>
      </c>
      <c r="P18" s="360" t="n">
        <f aca="false">$I$18*P$1</f>
        <v>1240000</v>
      </c>
      <c r="Q18" s="360" t="n">
        <f aca="false">$I$18*Q$1</f>
        <v>1200000</v>
      </c>
      <c r="R18" s="360" t="n">
        <f aca="false">$I$18*R$1</f>
        <v>1240000</v>
      </c>
      <c r="S18" s="360" t="n">
        <f aca="false">$I$18*S$1</f>
        <v>1200000</v>
      </c>
      <c r="T18" s="360" t="n">
        <f aca="false">$I$18*T$1</f>
        <v>1240000</v>
      </c>
      <c r="U18" s="360" t="n">
        <f aca="false">$I$18*U$1</f>
        <v>1240000</v>
      </c>
      <c r="V18" s="360" t="n">
        <f aca="false">$I$18*V$1</f>
        <v>1200000</v>
      </c>
      <c r="W18" s="360" t="n">
        <f aca="false">$I$18*W$1</f>
        <v>1240000</v>
      </c>
      <c r="X18" s="360" t="n">
        <f aca="false">$I$18*X$1</f>
        <v>1200000</v>
      </c>
      <c r="Y18" s="360" t="n">
        <f aca="false">$I$18*Y$1</f>
        <v>1240000</v>
      </c>
    </row>
    <row r="19" customFormat="false" ht="12.75" hidden="false" customHeight="true" outlineLevel="0" collapsed="false">
      <c r="A19" s="370" t="s">
        <v>343</v>
      </c>
      <c r="B19" s="370" t="s">
        <v>344</v>
      </c>
      <c r="C19" s="370" t="s">
        <v>5</v>
      </c>
      <c r="D19" s="370" t="s">
        <v>332</v>
      </c>
      <c r="E19" s="379" t="n">
        <v>26683</v>
      </c>
      <c r="F19" s="380" t="s">
        <v>356</v>
      </c>
      <c r="G19" s="380" t="s">
        <v>358</v>
      </c>
      <c r="H19" s="376" t="n">
        <v>37346</v>
      </c>
      <c r="I19" s="381" t="n">
        <v>8000</v>
      </c>
      <c r="M19" s="382" t="s">
        <v>346</v>
      </c>
      <c r="Q19" s="373" t="n">
        <f aca="false">$I$19*Q$1</f>
        <v>240000</v>
      </c>
      <c r="R19" s="373" t="n">
        <f aca="false">$I$19*R$1</f>
        <v>248000</v>
      </c>
      <c r="S19" s="373" t="n">
        <f aca="false">$I$19*S$1</f>
        <v>240000</v>
      </c>
      <c r="T19" s="373" t="n">
        <f aca="false">$I$19*T$1</f>
        <v>248000</v>
      </c>
      <c r="U19" s="373" t="n">
        <f aca="false">$I$19*U$1</f>
        <v>248000</v>
      </c>
      <c r="V19" s="373" t="n">
        <f aca="false">$I$19*V$1</f>
        <v>240000</v>
      </c>
      <c r="W19" s="373" t="n">
        <f aca="false">$I$19*W$1</f>
        <v>248000</v>
      </c>
      <c r="X19" s="373" t="n">
        <f aca="false">$I$19*X$1</f>
        <v>240000</v>
      </c>
      <c r="Y19" s="373" t="n">
        <f aca="false">$I$19*Y$1</f>
        <v>248000</v>
      </c>
    </row>
    <row r="20" customFormat="false" ht="12.75" hidden="false" customHeight="true" outlineLevel="0" collapsed="false">
      <c r="A20" s="383" t="s">
        <v>343</v>
      </c>
      <c r="B20" s="383" t="s">
        <v>344</v>
      </c>
      <c r="C20" s="383" t="s">
        <v>5</v>
      </c>
      <c r="D20" s="383" t="s">
        <v>332</v>
      </c>
      <c r="E20" s="384" t="n">
        <v>27334</v>
      </c>
      <c r="F20" s="383" t="s">
        <v>356</v>
      </c>
      <c r="G20" s="383"/>
      <c r="H20" s="384"/>
      <c r="I20" s="310" t="n">
        <v>14000</v>
      </c>
      <c r="J20" s="383"/>
      <c r="K20" s="385"/>
      <c r="L20" s="383"/>
      <c r="M20" s="386" t="s">
        <v>346</v>
      </c>
      <c r="N20" s="310"/>
      <c r="O20" s="310"/>
      <c r="P20" s="310"/>
      <c r="Q20" s="310" t="n">
        <f aca="false">$I$20*Q$1</f>
        <v>420000</v>
      </c>
      <c r="R20" s="310" t="n">
        <f aca="false">$I$20*R$1</f>
        <v>434000</v>
      </c>
      <c r="S20" s="310" t="n">
        <f aca="false">$I$20*S$1</f>
        <v>420000</v>
      </c>
      <c r="T20" s="310" t="n">
        <f aca="false">$I$20*T$1</f>
        <v>434000</v>
      </c>
      <c r="U20" s="310" t="n">
        <f aca="false">$I$20*U$1</f>
        <v>434000</v>
      </c>
      <c r="V20" s="310" t="n">
        <f aca="false">$I$20*V$1</f>
        <v>420000</v>
      </c>
      <c r="W20" s="310" t="n">
        <f aca="false">$I$20*W$1</f>
        <v>434000</v>
      </c>
      <c r="X20" s="310"/>
      <c r="Y20" s="310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83"/>
      <c r="BK20" s="383"/>
      <c r="BL20" s="383"/>
      <c r="BM20" s="383"/>
      <c r="BN20" s="383"/>
      <c r="BO20" s="383"/>
      <c r="BP20" s="383"/>
      <c r="BQ20" s="383"/>
      <c r="BR20" s="383"/>
      <c r="BS20" s="383"/>
      <c r="BT20" s="383"/>
      <c r="BU20" s="383"/>
      <c r="BV20" s="383"/>
      <c r="BW20" s="383"/>
      <c r="BX20" s="383"/>
      <c r="BY20" s="383"/>
      <c r="BZ20" s="383"/>
      <c r="CA20" s="383"/>
      <c r="CB20" s="383"/>
      <c r="CC20" s="383"/>
      <c r="CD20" s="383"/>
      <c r="CE20" s="383"/>
      <c r="CF20" s="383"/>
      <c r="CG20" s="383"/>
      <c r="CH20" s="383"/>
      <c r="CI20" s="383"/>
      <c r="CJ20" s="383"/>
      <c r="CK20" s="383"/>
      <c r="CL20" s="383"/>
      <c r="CM20" s="383"/>
      <c r="CN20" s="383"/>
      <c r="CO20" s="383"/>
      <c r="CP20" s="383"/>
      <c r="CQ20" s="383"/>
      <c r="CR20" s="383"/>
      <c r="CS20" s="383"/>
      <c r="CT20" s="383"/>
      <c r="CU20" s="383"/>
      <c r="CV20" s="383"/>
      <c r="CW20" s="383"/>
      <c r="CX20" s="383"/>
      <c r="CY20" s="383"/>
      <c r="CZ20" s="383"/>
      <c r="DA20" s="383"/>
      <c r="DB20" s="383"/>
      <c r="DC20" s="383"/>
      <c r="DD20" s="383"/>
      <c r="DE20" s="383"/>
      <c r="DF20" s="383"/>
      <c r="DG20" s="383"/>
      <c r="DH20" s="383"/>
      <c r="DI20" s="383"/>
      <c r="DJ20" s="383"/>
      <c r="DK20" s="383"/>
      <c r="DL20" s="383"/>
      <c r="DM20" s="383"/>
      <c r="DN20" s="383"/>
      <c r="DO20" s="383"/>
      <c r="DP20" s="383"/>
      <c r="DQ20" s="383"/>
      <c r="DR20" s="383"/>
      <c r="DS20" s="383"/>
      <c r="DT20" s="383"/>
      <c r="DU20" s="383"/>
      <c r="DV20" s="383"/>
      <c r="DW20" s="383"/>
      <c r="DX20" s="383"/>
      <c r="DY20" s="383"/>
      <c r="DZ20" s="383"/>
      <c r="EA20" s="383"/>
      <c r="EB20" s="383"/>
      <c r="EC20" s="383"/>
      <c r="ED20" s="383"/>
      <c r="EE20" s="383"/>
      <c r="EF20" s="383"/>
      <c r="EG20" s="383"/>
      <c r="EH20" s="383"/>
      <c r="EI20" s="383"/>
      <c r="EJ20" s="383"/>
      <c r="EK20" s="383"/>
      <c r="EL20" s="383"/>
      <c r="EM20" s="383"/>
      <c r="EN20" s="383"/>
      <c r="EO20" s="383"/>
      <c r="EP20" s="383"/>
      <c r="EQ20" s="383"/>
      <c r="ER20" s="383"/>
      <c r="ES20" s="383"/>
      <c r="ET20" s="383"/>
      <c r="EU20" s="383"/>
      <c r="EV20" s="383"/>
      <c r="EW20" s="383"/>
      <c r="EX20" s="383"/>
      <c r="EY20" s="383"/>
      <c r="EZ20" s="383"/>
      <c r="FA20" s="383"/>
      <c r="FB20" s="383"/>
      <c r="FC20" s="383"/>
      <c r="FD20" s="383"/>
      <c r="FE20" s="383"/>
      <c r="FF20" s="383"/>
      <c r="FG20" s="383"/>
      <c r="FH20" s="383"/>
      <c r="FI20" s="383"/>
      <c r="FJ20" s="383"/>
      <c r="FK20" s="383"/>
      <c r="FL20" s="383"/>
      <c r="FM20" s="383"/>
      <c r="FN20" s="383"/>
      <c r="FO20" s="383"/>
      <c r="FP20" s="383"/>
      <c r="FQ20" s="383"/>
      <c r="FR20" s="383"/>
      <c r="FS20" s="383"/>
      <c r="FT20" s="383"/>
      <c r="FU20" s="383"/>
      <c r="FV20" s="383"/>
      <c r="FW20" s="383"/>
      <c r="FX20" s="383"/>
      <c r="FY20" s="383"/>
      <c r="FZ20" s="383"/>
      <c r="GA20" s="383"/>
      <c r="GB20" s="383"/>
      <c r="GC20" s="383"/>
      <c r="GD20" s="383"/>
      <c r="GE20" s="383"/>
      <c r="GF20" s="383"/>
      <c r="GG20" s="383"/>
      <c r="GH20" s="383"/>
      <c r="GI20" s="383"/>
      <c r="GJ20" s="383"/>
      <c r="GK20" s="383"/>
      <c r="GL20" s="383"/>
      <c r="GM20" s="383"/>
      <c r="GN20" s="383"/>
      <c r="GO20" s="383"/>
      <c r="GP20" s="383"/>
      <c r="GQ20" s="383"/>
      <c r="GR20" s="383"/>
      <c r="GS20" s="383"/>
      <c r="GT20" s="383"/>
      <c r="GU20" s="383"/>
      <c r="GV20" s="383"/>
      <c r="GW20" s="383"/>
      <c r="GX20" s="383"/>
      <c r="GY20" s="383"/>
      <c r="GZ20" s="383"/>
      <c r="HA20" s="383"/>
      <c r="HB20" s="383"/>
      <c r="HC20" s="383"/>
      <c r="HD20" s="383"/>
      <c r="HE20" s="383"/>
      <c r="HF20" s="383"/>
      <c r="HG20" s="383"/>
      <c r="HH20" s="383"/>
      <c r="HI20" s="383"/>
      <c r="HJ20" s="383"/>
      <c r="HK20" s="383"/>
      <c r="HL20" s="383"/>
      <c r="HM20" s="383"/>
      <c r="HN20" s="383"/>
      <c r="HO20" s="383"/>
      <c r="HP20" s="383"/>
      <c r="HQ20" s="383"/>
      <c r="HR20" s="383"/>
      <c r="HS20" s="383"/>
      <c r="HT20" s="383"/>
      <c r="HU20" s="383"/>
      <c r="HV20" s="383"/>
      <c r="HW20" s="383"/>
      <c r="HX20" s="383"/>
      <c r="HY20" s="383"/>
      <c r="HZ20" s="383"/>
      <c r="IA20" s="383"/>
      <c r="IB20" s="383"/>
      <c r="IC20" s="383"/>
      <c r="ID20" s="383"/>
      <c r="IE20" s="383"/>
      <c r="IF20" s="383"/>
      <c r="IG20" s="383"/>
      <c r="IH20" s="383"/>
      <c r="II20" s="383"/>
      <c r="IJ20" s="383"/>
      <c r="IK20" s="383"/>
      <c r="IL20" s="383"/>
      <c r="IM20" s="383"/>
      <c r="IN20" s="383"/>
      <c r="IO20" s="383"/>
      <c r="IP20" s="383"/>
      <c r="IQ20" s="383"/>
      <c r="IR20" s="383"/>
      <c r="IS20" s="383"/>
      <c r="IT20" s="383"/>
      <c r="IU20" s="383"/>
      <c r="IV20" s="383"/>
      <c r="IW20" s="383"/>
    </row>
    <row r="21" customFormat="false" ht="12.75" hidden="false" customHeight="true" outlineLevel="0" collapsed="false">
      <c r="A21" s="294" t="s">
        <v>343</v>
      </c>
      <c r="B21" s="294" t="s">
        <v>344</v>
      </c>
      <c r="C21" s="294" t="s">
        <v>5</v>
      </c>
      <c r="D21" s="294" t="s">
        <v>332</v>
      </c>
      <c r="E21" s="359" t="n">
        <v>26819</v>
      </c>
      <c r="F21" s="294" t="s">
        <v>359</v>
      </c>
      <c r="G21" s="375" t="n">
        <v>36647</v>
      </c>
      <c r="H21" s="378" t="n">
        <v>38472</v>
      </c>
      <c r="I21" s="360" t="n">
        <v>10000</v>
      </c>
      <c r="M21" s="361" t="s">
        <v>346</v>
      </c>
      <c r="N21" s="360" t="n">
        <f aca="false">$I$21*N$1</f>
        <v>310000</v>
      </c>
      <c r="O21" s="360" t="n">
        <f aca="false">$I$21*O$1</f>
        <v>280000</v>
      </c>
      <c r="P21" s="360" t="n">
        <f aca="false">$I$21*P$1</f>
        <v>310000</v>
      </c>
      <c r="Q21" s="360" t="n">
        <f aca="false">$I$21*Q$1</f>
        <v>300000</v>
      </c>
      <c r="R21" s="360" t="n">
        <f aca="false">$I$21*R$1</f>
        <v>310000</v>
      </c>
      <c r="S21" s="360" t="n">
        <f aca="false">$I$21*S$1</f>
        <v>300000</v>
      </c>
      <c r="T21" s="360" t="n">
        <f aca="false">$I$21*T$1</f>
        <v>310000</v>
      </c>
      <c r="U21" s="360" t="n">
        <f aca="false">$I$21*U$1</f>
        <v>310000</v>
      </c>
      <c r="V21" s="360" t="n">
        <f aca="false">$I$21*V$1</f>
        <v>300000</v>
      </c>
      <c r="W21" s="360" t="n">
        <f aca="false">$I$21*W$1</f>
        <v>310000</v>
      </c>
      <c r="X21" s="360" t="n">
        <f aca="false">$I$21*X$1</f>
        <v>300000</v>
      </c>
      <c r="Y21" s="360" t="n">
        <f aca="false">$I$21*Y$1</f>
        <v>310000</v>
      </c>
    </row>
    <row r="22" customFormat="false" ht="12.75" hidden="false" customHeight="true" outlineLevel="0" collapsed="false">
      <c r="A22" s="380" t="s">
        <v>343</v>
      </c>
      <c r="B22" s="380" t="s">
        <v>344</v>
      </c>
      <c r="C22" s="380" t="s">
        <v>5</v>
      </c>
      <c r="D22" s="380" t="s">
        <v>332</v>
      </c>
      <c r="E22" s="379" t="n">
        <v>27352</v>
      </c>
      <c r="F22" s="380" t="s">
        <v>347</v>
      </c>
      <c r="G22" s="387" t="n">
        <v>37196</v>
      </c>
      <c r="H22" s="376" t="n">
        <v>37560</v>
      </c>
      <c r="I22" s="381" t="n">
        <v>21500</v>
      </c>
      <c r="M22" s="361" t="s">
        <v>346</v>
      </c>
      <c r="X22" s="381" t="n">
        <f aca="false">$I$22*X$1</f>
        <v>645000</v>
      </c>
      <c r="Y22" s="381" t="n">
        <f aca="false">$I$22*Y$1</f>
        <v>666500</v>
      </c>
    </row>
    <row r="23" customFormat="false" ht="12.75" hidden="false" customHeight="true" outlineLevel="0" collapsed="false">
      <c r="A23" s="380" t="s">
        <v>343</v>
      </c>
      <c r="B23" s="380" t="s">
        <v>344</v>
      </c>
      <c r="C23" s="380" t="s">
        <v>5</v>
      </c>
      <c r="D23" s="380" t="s">
        <v>332</v>
      </c>
      <c r="E23" s="379" t="n">
        <v>27427</v>
      </c>
      <c r="F23" s="380" t="s">
        <v>360</v>
      </c>
      <c r="G23" s="387" t="n">
        <v>36951</v>
      </c>
      <c r="H23" s="376" t="n">
        <v>36981</v>
      </c>
      <c r="I23" s="381" t="n">
        <v>10000</v>
      </c>
      <c r="M23" s="388" t="s">
        <v>352</v>
      </c>
      <c r="P23" s="381" t="n">
        <f aca="false">$I$23*P$1</f>
        <v>310000</v>
      </c>
      <c r="X23" s="381"/>
    </row>
    <row r="24" customFormat="false" ht="12.75" hidden="false" customHeight="true" outlineLevel="0" collapsed="false">
      <c r="A24" s="389" t="s">
        <v>343</v>
      </c>
      <c r="B24" s="389" t="s">
        <v>344</v>
      </c>
      <c r="C24" s="389" t="s">
        <v>5</v>
      </c>
      <c r="D24" s="389" t="s">
        <v>332</v>
      </c>
      <c r="E24" s="379"/>
      <c r="F24" s="389" t="s">
        <v>361</v>
      </c>
      <c r="G24" s="390" t="n">
        <v>37196</v>
      </c>
      <c r="H24" s="391" t="n">
        <v>37256</v>
      </c>
      <c r="I24" s="392" t="n">
        <v>20000</v>
      </c>
      <c r="M24" s="388" t="s">
        <v>352</v>
      </c>
      <c r="P24" s="381"/>
      <c r="X24" s="392" t="n">
        <f aca="false">$I$24*X$1</f>
        <v>600000</v>
      </c>
      <c r="Y24" s="392" t="n">
        <f aca="false">$I$24*Y$1</f>
        <v>620000</v>
      </c>
    </row>
    <row r="25" customFormat="false" ht="12.75" hidden="false" customHeight="true" outlineLevel="0" collapsed="false">
      <c r="A25" s="380" t="s">
        <v>343</v>
      </c>
      <c r="B25" s="380" t="s">
        <v>344</v>
      </c>
      <c r="C25" s="380" t="s">
        <v>5</v>
      </c>
      <c r="D25" s="380" t="s">
        <v>332</v>
      </c>
      <c r="E25" s="379" t="n">
        <v>27581</v>
      </c>
      <c r="F25" s="383" t="s">
        <v>362</v>
      </c>
      <c r="G25" s="393" t="n">
        <v>37196</v>
      </c>
      <c r="H25" s="394" t="n">
        <v>37225</v>
      </c>
      <c r="I25" s="310" t="n">
        <v>27500</v>
      </c>
      <c r="M25" s="388"/>
      <c r="P25" s="381"/>
      <c r="X25" s="381" t="n">
        <f aca="false">$I$25*X$1</f>
        <v>825000</v>
      </c>
      <c r="Y25" s="310"/>
    </row>
    <row r="26" customFormat="false" ht="12.75" hidden="false" customHeight="true" outlineLevel="0" collapsed="false">
      <c r="A26" s="380" t="s">
        <v>343</v>
      </c>
      <c r="B26" s="380" t="s">
        <v>344</v>
      </c>
      <c r="C26" s="380" t="s">
        <v>5</v>
      </c>
      <c r="D26" s="380" t="s">
        <v>332</v>
      </c>
      <c r="E26" s="379" t="n">
        <v>27581</v>
      </c>
      <c r="F26" s="383" t="s">
        <v>362</v>
      </c>
      <c r="G26" s="393" t="n">
        <v>37226</v>
      </c>
      <c r="H26" s="394" t="n">
        <v>37256</v>
      </c>
      <c r="I26" s="395" t="n">
        <v>14000</v>
      </c>
      <c r="M26" s="388"/>
      <c r="N26" s="368"/>
      <c r="O26" s="368"/>
      <c r="P26" s="396"/>
      <c r="Q26" s="368"/>
      <c r="R26" s="368"/>
      <c r="S26" s="368"/>
      <c r="T26" s="368"/>
      <c r="U26" s="368"/>
      <c r="V26" s="368"/>
      <c r="W26" s="368"/>
      <c r="X26" s="368"/>
      <c r="Y26" s="396" t="n">
        <f aca="false">$I$26*Y$1</f>
        <v>434000</v>
      </c>
    </row>
    <row r="27" customFormat="false" ht="12.75" hidden="false" customHeight="true" outlineLevel="0" collapsed="false">
      <c r="A27" s="380"/>
      <c r="B27" s="380"/>
      <c r="C27" s="380"/>
      <c r="D27" s="380"/>
      <c r="E27" s="379"/>
      <c r="F27" s="380"/>
      <c r="G27" s="387"/>
      <c r="H27" s="376"/>
      <c r="I27" s="381"/>
      <c r="M27" s="388"/>
      <c r="P27" s="381"/>
    </row>
    <row r="28" customFormat="false" ht="12.75" hidden="false" customHeight="true" outlineLevel="0" collapsed="false">
      <c r="I28" s="360" t="n">
        <f aca="false">SUM(I9:I27)</f>
        <v>713000</v>
      </c>
      <c r="N28" s="360" t="n">
        <f aca="false">SUM(N9:N26)</f>
        <v>17918000</v>
      </c>
      <c r="O28" s="360" t="n">
        <f aca="false">SUM(O9:O26)</f>
        <v>16184000</v>
      </c>
      <c r="P28" s="360" t="n">
        <f aca="false">SUM(P9:P26)</f>
        <v>18228000</v>
      </c>
      <c r="Q28" s="360" t="n">
        <f aca="false">SUM(Q9:Q26)</f>
        <v>17340000</v>
      </c>
      <c r="R28" s="360" t="n">
        <f aca="false">SUM(R9:R26)</f>
        <v>17918000</v>
      </c>
      <c r="S28" s="360" t="n">
        <f aca="false">SUM(S9:S26)</f>
        <v>17340000</v>
      </c>
      <c r="T28" s="360" t="n">
        <f aca="false">SUM(T9:T26)</f>
        <v>17918000</v>
      </c>
      <c r="U28" s="360" t="n">
        <f aca="false">SUM(U9:U26)</f>
        <v>17918000</v>
      </c>
      <c r="V28" s="360" t="n">
        <f aca="false">SUM(V9:V26)</f>
        <v>17340000</v>
      </c>
      <c r="W28" s="360" t="n">
        <f aca="false">SUM(W9:W26)</f>
        <v>17918000</v>
      </c>
      <c r="X28" s="360" t="n">
        <f aca="false">SUM(X9:X26)</f>
        <v>17940000</v>
      </c>
      <c r="Y28" s="360" t="n">
        <f aca="false">SUM(Y9:Y26)</f>
        <v>18119500</v>
      </c>
    </row>
    <row r="30" customFormat="false" ht="12.75" hidden="false" customHeight="true" outlineLevel="0" collapsed="false">
      <c r="A30" s="397" t="s">
        <v>363</v>
      </c>
      <c r="B30" s="398"/>
      <c r="C30" s="398"/>
      <c r="D30" s="398"/>
      <c r="E30" s="399"/>
      <c r="F30" s="398"/>
      <c r="G30" s="398"/>
      <c r="H30" s="399"/>
      <c r="I30" s="400"/>
      <c r="J30" s="398"/>
      <c r="K30" s="401"/>
      <c r="L30" s="398"/>
      <c r="M30" s="402"/>
      <c r="N30" s="403" t="n">
        <v>0.62</v>
      </c>
      <c r="O30" s="404" t="n">
        <v>0.59</v>
      </c>
      <c r="P30" s="403" t="n">
        <v>0.52</v>
      </c>
      <c r="Q30" s="403" t="n">
        <v>0.69</v>
      </c>
      <c r="R30" s="403" t="n">
        <v>0.53</v>
      </c>
      <c r="S30" s="403" t="n">
        <v>0.45</v>
      </c>
      <c r="T30" s="403" t="n">
        <v>0.45</v>
      </c>
      <c r="U30" s="403" t="n">
        <v>0.45</v>
      </c>
      <c r="V30" s="403" t="n">
        <v>0.493</v>
      </c>
      <c r="W30" s="403" t="n">
        <v>0.523</v>
      </c>
      <c r="X30" s="403" t="n">
        <v>0.61</v>
      </c>
      <c r="Y30" s="405" t="n">
        <v>0.5</v>
      </c>
    </row>
    <row r="31" customFormat="false" ht="12.75" hidden="false" customHeight="true" outlineLevel="0" collapsed="false">
      <c r="A31" s="294" t="s">
        <v>343</v>
      </c>
      <c r="B31" s="294" t="s">
        <v>344</v>
      </c>
      <c r="C31" s="294" t="s">
        <v>5</v>
      </c>
      <c r="D31" s="294" t="s">
        <v>329</v>
      </c>
      <c r="E31" s="369" t="n">
        <v>26751</v>
      </c>
      <c r="F31" s="370" t="s">
        <v>345</v>
      </c>
      <c r="G31" s="371" t="n">
        <v>36557</v>
      </c>
      <c r="H31" s="372" t="n">
        <v>36922</v>
      </c>
      <c r="I31" s="373" t="n">
        <v>20000</v>
      </c>
      <c r="M31" s="361" t="s">
        <v>346</v>
      </c>
      <c r="N31" s="360" t="n">
        <f aca="false">N9*N$30</f>
        <v>384400</v>
      </c>
      <c r="O31" s="360" t="n">
        <f aca="false">O9*O$30</f>
        <v>0</v>
      </c>
      <c r="P31" s="360" t="n">
        <f aca="false">P9*P$30</f>
        <v>0</v>
      </c>
      <c r="Q31" s="360" t="n">
        <f aca="false">Q9*Q$30</f>
        <v>0</v>
      </c>
      <c r="R31" s="360" t="n">
        <f aca="false">R9*R$30</f>
        <v>0</v>
      </c>
      <c r="S31" s="360" t="n">
        <f aca="false">S9*S$30</f>
        <v>0</v>
      </c>
      <c r="T31" s="360" t="n">
        <f aca="false">T9*T$30</f>
        <v>0</v>
      </c>
      <c r="U31" s="360" t="n">
        <f aca="false">U9*U$30</f>
        <v>0</v>
      </c>
      <c r="V31" s="360" t="n">
        <f aca="false">V9*V$30</f>
        <v>0</v>
      </c>
      <c r="W31" s="360" t="n">
        <f aca="false">W9*W$30</f>
        <v>0</v>
      </c>
      <c r="X31" s="360" t="n">
        <f aca="false">X9*X$30</f>
        <v>0</v>
      </c>
      <c r="Y31" s="360" t="n">
        <f aca="false">Y9*Y$30</f>
        <v>0</v>
      </c>
    </row>
    <row r="32" customFormat="false" ht="12.75" hidden="false" customHeight="true" outlineLevel="0" collapsed="false">
      <c r="A32" s="406"/>
      <c r="B32" s="406" t="s">
        <v>364</v>
      </c>
      <c r="C32" s="406" t="s">
        <v>5</v>
      </c>
      <c r="D32" s="406" t="s">
        <v>329</v>
      </c>
      <c r="E32" s="407"/>
      <c r="F32" s="406"/>
      <c r="G32" s="408"/>
      <c r="H32" s="409"/>
      <c r="I32" s="410"/>
      <c r="J32" s="406"/>
      <c r="K32" s="411"/>
      <c r="L32" s="406"/>
      <c r="M32" s="412"/>
      <c r="N32" s="410"/>
      <c r="O32" s="410"/>
      <c r="P32" s="410"/>
      <c r="Q32" s="410" t="n">
        <v>-2790000</v>
      </c>
      <c r="R32" s="410" t="n">
        <f aca="false">-1630000-430000</f>
        <v>-2060000</v>
      </c>
      <c r="S32" s="410"/>
      <c r="T32" s="410"/>
      <c r="U32" s="410"/>
      <c r="V32" s="410" t="n">
        <f aca="false">-8000*V1</f>
        <v>-240000</v>
      </c>
      <c r="W32" s="410"/>
      <c r="X32" s="410"/>
      <c r="Y32" s="410"/>
      <c r="Z32" s="406"/>
      <c r="AA32" s="406"/>
      <c r="AB32" s="406"/>
      <c r="AC32" s="406"/>
      <c r="AD32" s="406"/>
      <c r="AE32" s="406"/>
      <c r="AF32" s="406"/>
      <c r="AG32" s="406"/>
      <c r="AH32" s="406"/>
      <c r="AI32" s="406"/>
      <c r="AJ32" s="406"/>
      <c r="AK32" s="406"/>
      <c r="AL32" s="406"/>
      <c r="AM32" s="406"/>
      <c r="AN32" s="406"/>
      <c r="AO32" s="406"/>
      <c r="AP32" s="406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406"/>
      <c r="BC32" s="406"/>
      <c r="BD32" s="406"/>
      <c r="BE32" s="406"/>
      <c r="BF32" s="406"/>
      <c r="BG32" s="406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406"/>
      <c r="BX32" s="406"/>
      <c r="BY32" s="406"/>
      <c r="BZ32" s="406"/>
      <c r="CA32" s="406"/>
      <c r="CB32" s="406"/>
      <c r="CC32" s="406"/>
      <c r="CD32" s="406"/>
      <c r="CE32" s="406"/>
      <c r="CF32" s="406"/>
      <c r="CG32" s="406"/>
      <c r="CH32" s="406"/>
      <c r="CI32" s="406"/>
      <c r="CJ32" s="406"/>
      <c r="CK32" s="406"/>
      <c r="CL32" s="406"/>
      <c r="CM32" s="406"/>
      <c r="CN32" s="406"/>
      <c r="CO32" s="406"/>
      <c r="CP32" s="406"/>
      <c r="CQ32" s="406"/>
      <c r="CR32" s="406"/>
      <c r="CS32" s="406"/>
      <c r="CT32" s="406"/>
      <c r="CU32" s="406"/>
      <c r="CV32" s="406"/>
      <c r="CW32" s="406"/>
      <c r="CX32" s="406"/>
      <c r="CY32" s="406"/>
      <c r="CZ32" s="406"/>
      <c r="DA32" s="406"/>
      <c r="DB32" s="406"/>
      <c r="DC32" s="406"/>
      <c r="DD32" s="406"/>
      <c r="DE32" s="406"/>
      <c r="DF32" s="406"/>
      <c r="DG32" s="406"/>
      <c r="DH32" s="406"/>
      <c r="DI32" s="406"/>
      <c r="DJ32" s="406"/>
      <c r="DK32" s="406"/>
      <c r="DL32" s="406"/>
      <c r="DM32" s="406"/>
      <c r="DN32" s="406"/>
      <c r="DO32" s="406"/>
      <c r="DP32" s="406"/>
      <c r="DQ32" s="406"/>
      <c r="DR32" s="406"/>
      <c r="DS32" s="406"/>
      <c r="DT32" s="406"/>
      <c r="DU32" s="406"/>
      <c r="DV32" s="406"/>
      <c r="DW32" s="406"/>
      <c r="DX32" s="406"/>
      <c r="DY32" s="406"/>
      <c r="DZ32" s="406"/>
      <c r="EA32" s="406"/>
      <c r="EB32" s="406"/>
      <c r="EC32" s="406"/>
      <c r="ED32" s="406"/>
      <c r="EE32" s="406"/>
      <c r="EF32" s="406"/>
      <c r="EG32" s="406"/>
      <c r="EH32" s="406"/>
      <c r="EI32" s="406"/>
      <c r="EJ32" s="406"/>
      <c r="EK32" s="406"/>
      <c r="EL32" s="406"/>
      <c r="EM32" s="406"/>
      <c r="EN32" s="406"/>
      <c r="EO32" s="406"/>
      <c r="EP32" s="406"/>
      <c r="EQ32" s="406"/>
      <c r="ER32" s="406"/>
      <c r="ES32" s="406"/>
      <c r="ET32" s="406"/>
      <c r="EU32" s="406"/>
      <c r="EV32" s="406"/>
      <c r="EW32" s="406"/>
      <c r="EX32" s="406"/>
      <c r="EY32" s="406"/>
      <c r="EZ32" s="406"/>
      <c r="FA32" s="406"/>
      <c r="FB32" s="406"/>
      <c r="FC32" s="406"/>
      <c r="FD32" s="406"/>
      <c r="FE32" s="406"/>
      <c r="FF32" s="406"/>
      <c r="FG32" s="406"/>
      <c r="FH32" s="406"/>
      <c r="FI32" s="406"/>
      <c r="FJ32" s="406"/>
      <c r="FK32" s="406"/>
      <c r="FL32" s="406"/>
      <c r="FM32" s="406"/>
      <c r="FN32" s="406"/>
      <c r="FO32" s="406"/>
      <c r="FP32" s="406"/>
      <c r="FQ32" s="406"/>
      <c r="FR32" s="406"/>
      <c r="FS32" s="406"/>
      <c r="FT32" s="406"/>
      <c r="FU32" s="406"/>
      <c r="FV32" s="406"/>
      <c r="FW32" s="406"/>
      <c r="FX32" s="406"/>
      <c r="FY32" s="406"/>
      <c r="FZ32" s="406"/>
      <c r="GA32" s="406"/>
      <c r="GB32" s="406"/>
      <c r="GC32" s="406"/>
      <c r="GD32" s="406"/>
      <c r="GE32" s="406"/>
      <c r="GF32" s="406"/>
      <c r="GG32" s="406"/>
      <c r="GH32" s="406"/>
      <c r="GI32" s="406"/>
      <c r="GJ32" s="406"/>
      <c r="GK32" s="406"/>
      <c r="GL32" s="406"/>
      <c r="GM32" s="406"/>
      <c r="GN32" s="406"/>
      <c r="GO32" s="406"/>
      <c r="GP32" s="406"/>
      <c r="GQ32" s="406"/>
      <c r="GR32" s="406"/>
      <c r="GS32" s="406"/>
      <c r="GT32" s="406"/>
      <c r="GU32" s="406"/>
      <c r="GV32" s="406"/>
      <c r="GW32" s="406"/>
      <c r="GX32" s="406"/>
      <c r="GY32" s="406"/>
      <c r="GZ32" s="406"/>
      <c r="HA32" s="406"/>
      <c r="HB32" s="406"/>
      <c r="HC32" s="406"/>
      <c r="HD32" s="406"/>
      <c r="HE32" s="406"/>
      <c r="HF32" s="406"/>
      <c r="HG32" s="406"/>
      <c r="HH32" s="406"/>
      <c r="HI32" s="406"/>
      <c r="HJ32" s="406"/>
      <c r="HK32" s="406"/>
      <c r="HL32" s="406"/>
      <c r="HM32" s="406"/>
      <c r="HN32" s="406"/>
      <c r="HO32" s="406"/>
      <c r="HP32" s="406"/>
      <c r="HQ32" s="406"/>
      <c r="HR32" s="406"/>
      <c r="HS32" s="406"/>
      <c r="HT32" s="406"/>
      <c r="HU32" s="406"/>
      <c r="HV32" s="406"/>
      <c r="HW32" s="406"/>
      <c r="HX32" s="406"/>
      <c r="HY32" s="406"/>
      <c r="HZ32" s="406"/>
      <c r="IA32" s="406"/>
      <c r="IB32" s="406"/>
      <c r="IC32" s="406"/>
      <c r="ID32" s="406"/>
      <c r="IE32" s="406"/>
      <c r="IF32" s="406"/>
      <c r="IG32" s="406"/>
      <c r="IH32" s="406"/>
      <c r="II32" s="406"/>
      <c r="IJ32" s="406"/>
      <c r="IK32" s="406"/>
      <c r="IL32" s="406"/>
      <c r="IM32" s="406"/>
      <c r="IN32" s="406"/>
      <c r="IO32" s="406"/>
      <c r="IP32" s="406"/>
      <c r="IQ32" s="406"/>
      <c r="IR32" s="406"/>
      <c r="IS32" s="406"/>
      <c r="IT32" s="406"/>
      <c r="IU32" s="406"/>
      <c r="IV32" s="406"/>
      <c r="IW32" s="406"/>
    </row>
    <row r="33" customFormat="false" ht="12.75" hidden="false" customHeight="true" outlineLevel="0" collapsed="false">
      <c r="B33" s="294" t="s">
        <v>344</v>
      </c>
      <c r="C33" s="294" t="s">
        <v>5</v>
      </c>
      <c r="D33" s="294" t="s">
        <v>329</v>
      </c>
      <c r="E33" s="374" t="n">
        <v>27293</v>
      </c>
      <c r="F33" s="294" t="s">
        <v>347</v>
      </c>
      <c r="G33" s="375" t="n">
        <v>36831</v>
      </c>
      <c r="H33" s="376" t="n">
        <v>37195</v>
      </c>
      <c r="I33" s="360" t="n">
        <v>49000</v>
      </c>
      <c r="N33" s="360" t="n">
        <f aca="false">N10*N$30</f>
        <v>941780</v>
      </c>
      <c r="O33" s="360" t="n">
        <f aca="false">O10*O$30</f>
        <v>809480</v>
      </c>
      <c r="P33" s="360" t="n">
        <f aca="false">P10*P$30</f>
        <v>789880</v>
      </c>
      <c r="Q33" s="360" t="n">
        <f aca="false">Q10*Q$30</f>
        <v>1014300</v>
      </c>
      <c r="R33" s="360" t="n">
        <f aca="false">R10*R$30</f>
        <v>805070</v>
      </c>
      <c r="S33" s="360" t="n">
        <f aca="false">S10*S$30</f>
        <v>661500</v>
      </c>
      <c r="T33" s="360" t="n">
        <f aca="false">T10*T$30</f>
        <v>683550</v>
      </c>
      <c r="U33" s="360" t="n">
        <f aca="false">U10*U$30</f>
        <v>683550</v>
      </c>
      <c r="V33" s="360" t="n">
        <f aca="false">V10*V$30</f>
        <v>724710</v>
      </c>
      <c r="W33" s="360" t="n">
        <f aca="false">W10*W$30</f>
        <v>794437</v>
      </c>
      <c r="X33" s="360" t="n">
        <f aca="false">X10*X$30</f>
        <v>0</v>
      </c>
      <c r="Y33" s="360" t="n">
        <f aca="false">Y10*Y$30</f>
        <v>0</v>
      </c>
    </row>
    <row r="34" customFormat="false" ht="12.75" hidden="false" customHeight="true" outlineLevel="0" collapsed="false">
      <c r="A34" s="294" t="s">
        <v>343</v>
      </c>
      <c r="B34" s="294" t="s">
        <v>344</v>
      </c>
      <c r="C34" s="294" t="s">
        <v>5</v>
      </c>
      <c r="D34" s="294" t="s">
        <v>329</v>
      </c>
      <c r="E34" s="374" t="n">
        <v>27252</v>
      </c>
      <c r="F34" s="294" t="s">
        <v>348</v>
      </c>
      <c r="G34" s="377" t="s">
        <v>349</v>
      </c>
      <c r="H34" s="378" t="n">
        <v>40482</v>
      </c>
      <c r="I34" s="360" t="n">
        <v>14000</v>
      </c>
      <c r="M34" s="361" t="s">
        <v>346</v>
      </c>
      <c r="N34" s="360" t="n">
        <f aca="false">N11*N$30</f>
        <v>269080</v>
      </c>
      <c r="O34" s="360" t="n">
        <f aca="false">O11*O$30</f>
        <v>231280</v>
      </c>
      <c r="P34" s="360" t="n">
        <f aca="false">P11*P$30</f>
        <v>225680</v>
      </c>
      <c r="X34" s="360" t="n">
        <f aca="false">X11*X$30</f>
        <v>256200</v>
      </c>
      <c r="Y34" s="360" t="n">
        <f aca="false">Y11*Y$30</f>
        <v>217000</v>
      </c>
    </row>
    <row r="35" customFormat="false" ht="12.75" hidden="false" customHeight="true" outlineLevel="0" collapsed="false">
      <c r="A35" s="294" t="s">
        <v>343</v>
      </c>
      <c r="B35" s="294" t="s">
        <v>344</v>
      </c>
      <c r="C35" s="294" t="s">
        <v>5</v>
      </c>
      <c r="D35" s="294" t="s">
        <v>329</v>
      </c>
      <c r="E35" s="374" t="n">
        <v>26490</v>
      </c>
      <c r="F35" s="294" t="s">
        <v>350</v>
      </c>
      <c r="G35" s="375" t="n">
        <v>36100</v>
      </c>
      <c r="H35" s="376" t="n">
        <v>37925</v>
      </c>
      <c r="I35" s="360" t="n">
        <v>70000</v>
      </c>
      <c r="M35" s="361" t="s">
        <v>346</v>
      </c>
      <c r="N35" s="360" t="n">
        <f aca="false">N12*N$30</f>
        <v>1345400</v>
      </c>
      <c r="O35" s="360" t="n">
        <f aca="false">O12*O$30</f>
        <v>1156400</v>
      </c>
      <c r="P35" s="360" t="n">
        <f aca="false">P12*P$30</f>
        <v>1128400</v>
      </c>
      <c r="Q35" s="360" t="n">
        <f aca="false">Q12*Q$30</f>
        <v>1449000</v>
      </c>
      <c r="R35" s="360" t="n">
        <f aca="false">R12*R$30</f>
        <v>1150100</v>
      </c>
      <c r="S35" s="360" t="n">
        <f aca="false">S12*S$30</f>
        <v>945000</v>
      </c>
      <c r="T35" s="360" t="n">
        <f aca="false">T12*T$30</f>
        <v>976500</v>
      </c>
      <c r="U35" s="360" t="n">
        <f aca="false">U12*U$30</f>
        <v>976500</v>
      </c>
      <c r="V35" s="360" t="n">
        <f aca="false">V12*V$30</f>
        <v>1035300</v>
      </c>
      <c r="W35" s="360" t="n">
        <f aca="false">W12*W$30</f>
        <v>1134910</v>
      </c>
      <c r="X35" s="360" t="n">
        <f aca="false">X12*X$30</f>
        <v>1281000</v>
      </c>
      <c r="Y35" s="360" t="n">
        <f aca="false">Y12*Y$30</f>
        <v>1085000</v>
      </c>
    </row>
    <row r="36" customFormat="false" ht="12.75" hidden="false" customHeight="true" outlineLevel="0" collapsed="false">
      <c r="A36" s="294" t="s">
        <v>343</v>
      </c>
      <c r="B36" s="294" t="s">
        <v>344</v>
      </c>
      <c r="C36" s="294" t="s">
        <v>5</v>
      </c>
      <c r="D36" s="294" t="s">
        <v>329</v>
      </c>
      <c r="E36" s="359" t="n">
        <v>8255</v>
      </c>
      <c r="F36" s="294" t="s">
        <v>351</v>
      </c>
      <c r="H36" s="378" t="n">
        <v>38656</v>
      </c>
      <c r="I36" s="360" t="n">
        <v>306000</v>
      </c>
      <c r="M36" s="361" t="s">
        <v>352</v>
      </c>
      <c r="N36" s="360" t="n">
        <f aca="false">(N13*N$30)+(33000*N$1)</f>
        <v>6904320</v>
      </c>
      <c r="O36" s="360" t="n">
        <f aca="false">(O13*O$30)+(33000*O$1)</f>
        <v>5979120</v>
      </c>
      <c r="P36" s="360" t="n">
        <f aca="false">(P13*P$30)+(33000*P$1)</f>
        <v>5955720</v>
      </c>
      <c r="Q36" s="360" t="n">
        <f aca="false">(Q13*Q$30)+(33000*Q$1)</f>
        <v>7324200</v>
      </c>
      <c r="R36" s="360" t="n">
        <f aca="false">(R13*R$30)+(33000*R$1)</f>
        <v>6050580</v>
      </c>
      <c r="S36" s="360" t="n">
        <f aca="false">(S13*S$30)+(33000*S$1)</f>
        <v>5121000</v>
      </c>
      <c r="T36" s="360" t="n">
        <f aca="false">(T13*T$30)+(33000*T$1)</f>
        <v>5291700</v>
      </c>
      <c r="U36" s="360" t="n">
        <f aca="false">(U13*U$30)+(33000*U$1)</f>
        <v>5291700</v>
      </c>
      <c r="V36" s="360" t="n">
        <f aca="false">(V13*V$30)+(33000*V$1)</f>
        <v>5515740</v>
      </c>
      <c r="W36" s="360" t="n">
        <f aca="false">(W13*W$30)+(33000*W$1)</f>
        <v>5984178</v>
      </c>
      <c r="X36" s="360" t="n">
        <f aca="false">(X13*X$30)+(33000*X$1)</f>
        <v>6589800</v>
      </c>
      <c r="Y36" s="360" t="n">
        <f aca="false">(Y13*Y$30)+(33000*Y$1)</f>
        <v>5766000</v>
      </c>
    </row>
    <row r="37" customFormat="false" ht="12.75" hidden="false" customHeight="true" outlineLevel="0" collapsed="false">
      <c r="A37" s="294" t="s">
        <v>343</v>
      </c>
      <c r="B37" s="294" t="s">
        <v>344</v>
      </c>
      <c r="C37" s="294" t="s">
        <v>5</v>
      </c>
      <c r="D37" s="294" t="s">
        <v>329</v>
      </c>
      <c r="E37" s="359" t="n">
        <v>25841</v>
      </c>
      <c r="F37" s="294" t="s">
        <v>353</v>
      </c>
      <c r="G37" s="375" t="n">
        <v>36557</v>
      </c>
      <c r="H37" s="378" t="n">
        <v>37560</v>
      </c>
      <c r="I37" s="360" t="n">
        <v>40000</v>
      </c>
      <c r="M37" s="361" t="s">
        <v>346</v>
      </c>
      <c r="N37" s="360" t="n">
        <f aca="false">N14*N$30</f>
        <v>768800</v>
      </c>
      <c r="O37" s="360" t="n">
        <f aca="false">O14*O$30</f>
        <v>660800</v>
      </c>
      <c r="P37" s="360" t="n">
        <f aca="false">P14*P$30</f>
        <v>644800</v>
      </c>
      <c r="Q37" s="360" t="n">
        <f aca="false">Q14*Q$30</f>
        <v>828000</v>
      </c>
      <c r="R37" s="360" t="n">
        <f aca="false">R14*R$30</f>
        <v>657200</v>
      </c>
      <c r="S37" s="360" t="n">
        <f aca="false">S14*S$30</f>
        <v>540000</v>
      </c>
      <c r="T37" s="360" t="n">
        <f aca="false">T14*T$30</f>
        <v>558000</v>
      </c>
      <c r="U37" s="360" t="n">
        <f aca="false">U14*U$30</f>
        <v>558000</v>
      </c>
      <c r="V37" s="360" t="n">
        <f aca="false">V14*V$30</f>
        <v>591600</v>
      </c>
      <c r="W37" s="360" t="n">
        <f aca="false">W14*W$30</f>
        <v>648520</v>
      </c>
      <c r="X37" s="360" t="n">
        <f aca="false">X14*X$30</f>
        <v>732000</v>
      </c>
      <c r="Y37" s="360" t="n">
        <f aca="false">Y14*Y$30</f>
        <v>620000</v>
      </c>
    </row>
    <row r="38" customFormat="false" ht="12.75" hidden="false" customHeight="true" outlineLevel="0" collapsed="false">
      <c r="A38" s="370" t="s">
        <v>343</v>
      </c>
      <c r="B38" s="370" t="s">
        <v>344</v>
      </c>
      <c r="C38" s="370" t="s">
        <v>5</v>
      </c>
      <c r="D38" s="370" t="s">
        <v>329</v>
      </c>
      <c r="E38" s="379" t="n">
        <v>27340</v>
      </c>
      <c r="F38" s="380" t="s">
        <v>354</v>
      </c>
      <c r="G38" s="379" t="s">
        <v>355</v>
      </c>
      <c r="H38" s="376" t="n">
        <v>37287</v>
      </c>
      <c r="I38" s="381" t="n">
        <v>20000</v>
      </c>
      <c r="J38" s="370"/>
      <c r="K38" s="413"/>
      <c r="L38" s="370"/>
      <c r="M38" s="382"/>
      <c r="N38" s="373"/>
      <c r="O38" s="373" t="n">
        <f aca="false">O15*O$30</f>
        <v>330400</v>
      </c>
      <c r="P38" s="373" t="n">
        <f aca="false">P15*P$30</f>
        <v>322400</v>
      </c>
      <c r="Q38" s="373" t="n">
        <f aca="false">Q15*Q$30</f>
        <v>414000</v>
      </c>
      <c r="R38" s="373" t="n">
        <f aca="false">R15*R$30</f>
        <v>328600</v>
      </c>
      <c r="S38" s="373" t="n">
        <f aca="false">S15*S$30</f>
        <v>270000</v>
      </c>
      <c r="T38" s="373" t="n">
        <f aca="false">T15*T$30</f>
        <v>279000</v>
      </c>
      <c r="U38" s="373" t="n">
        <f aca="false">U15*U$30</f>
        <v>279000</v>
      </c>
      <c r="V38" s="373" t="n">
        <f aca="false">V15*V$30</f>
        <v>295800</v>
      </c>
      <c r="W38" s="373" t="n">
        <f aca="false">W15*W$30</f>
        <v>324260</v>
      </c>
      <c r="X38" s="373" t="n">
        <f aca="false">X15*X$30</f>
        <v>366000</v>
      </c>
      <c r="Y38" s="373" t="n">
        <f aca="false">Y15*Y$30</f>
        <v>310000</v>
      </c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  <c r="AR38" s="370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70"/>
      <c r="BG38" s="370"/>
      <c r="BH38" s="370"/>
      <c r="BI38" s="370"/>
      <c r="BJ38" s="370"/>
      <c r="BK38" s="370"/>
      <c r="BL38" s="370"/>
      <c r="BM38" s="370"/>
      <c r="BN38" s="370"/>
      <c r="BO38" s="370"/>
      <c r="BP38" s="370"/>
      <c r="BQ38" s="370"/>
      <c r="BR38" s="370"/>
      <c r="BS38" s="370"/>
      <c r="BT38" s="370"/>
      <c r="BU38" s="370"/>
      <c r="BV38" s="370"/>
      <c r="BW38" s="370"/>
      <c r="BX38" s="370"/>
      <c r="BY38" s="370"/>
      <c r="BZ38" s="370"/>
      <c r="CA38" s="370"/>
      <c r="CB38" s="370"/>
      <c r="CC38" s="370"/>
      <c r="CD38" s="370"/>
      <c r="CE38" s="370"/>
      <c r="CF38" s="370"/>
      <c r="CG38" s="370"/>
      <c r="CH38" s="370"/>
      <c r="CI38" s="370"/>
      <c r="CJ38" s="370"/>
      <c r="CK38" s="370"/>
      <c r="CL38" s="370"/>
      <c r="CM38" s="370"/>
      <c r="CN38" s="370"/>
      <c r="CO38" s="370"/>
      <c r="CP38" s="370"/>
      <c r="CQ38" s="370"/>
      <c r="CR38" s="370"/>
      <c r="CS38" s="370"/>
      <c r="CT38" s="370"/>
      <c r="CU38" s="370"/>
      <c r="CV38" s="370"/>
      <c r="CW38" s="370"/>
      <c r="CX38" s="370"/>
      <c r="CY38" s="370"/>
      <c r="CZ38" s="370"/>
      <c r="DA38" s="370"/>
      <c r="DB38" s="370"/>
      <c r="DC38" s="370"/>
      <c r="DD38" s="370"/>
      <c r="DE38" s="370"/>
      <c r="DF38" s="370"/>
      <c r="DG38" s="370"/>
      <c r="DH38" s="370"/>
      <c r="DI38" s="370"/>
      <c r="DJ38" s="370"/>
      <c r="DK38" s="370"/>
      <c r="DL38" s="370"/>
      <c r="DM38" s="370"/>
      <c r="DN38" s="370"/>
      <c r="DO38" s="370"/>
      <c r="DP38" s="370"/>
      <c r="DQ38" s="370"/>
      <c r="DR38" s="370"/>
      <c r="DS38" s="370"/>
      <c r="DT38" s="370"/>
      <c r="DU38" s="370"/>
      <c r="DV38" s="370"/>
      <c r="DW38" s="370"/>
      <c r="DX38" s="370"/>
      <c r="DY38" s="370"/>
      <c r="DZ38" s="370"/>
      <c r="EA38" s="370"/>
      <c r="EB38" s="370"/>
      <c r="EC38" s="370"/>
      <c r="ED38" s="370"/>
      <c r="EE38" s="370"/>
      <c r="EF38" s="370"/>
      <c r="EG38" s="370"/>
      <c r="EH38" s="370"/>
      <c r="EI38" s="370"/>
      <c r="EJ38" s="370"/>
      <c r="EK38" s="370"/>
      <c r="EL38" s="370"/>
      <c r="EM38" s="370"/>
      <c r="EN38" s="370"/>
      <c r="EO38" s="370"/>
      <c r="EP38" s="370"/>
      <c r="EQ38" s="370"/>
      <c r="ER38" s="370"/>
      <c r="ES38" s="370"/>
      <c r="ET38" s="370"/>
      <c r="EU38" s="370"/>
      <c r="EV38" s="370"/>
      <c r="EW38" s="370"/>
      <c r="EX38" s="370"/>
      <c r="EY38" s="370"/>
      <c r="EZ38" s="370"/>
      <c r="FA38" s="370"/>
      <c r="FB38" s="370"/>
      <c r="FC38" s="370"/>
      <c r="FD38" s="370"/>
      <c r="FE38" s="370"/>
      <c r="FF38" s="370"/>
      <c r="FG38" s="370"/>
      <c r="FH38" s="370"/>
      <c r="FI38" s="370"/>
      <c r="FJ38" s="370"/>
      <c r="FK38" s="370"/>
      <c r="FL38" s="370"/>
      <c r="FM38" s="370"/>
      <c r="FN38" s="370"/>
      <c r="FO38" s="370"/>
      <c r="FP38" s="370"/>
      <c r="FQ38" s="370"/>
      <c r="FR38" s="370"/>
      <c r="FS38" s="370"/>
      <c r="FT38" s="370"/>
      <c r="FU38" s="370"/>
      <c r="FV38" s="370"/>
      <c r="FW38" s="370"/>
      <c r="FX38" s="370"/>
      <c r="FY38" s="370"/>
      <c r="FZ38" s="370"/>
      <c r="GA38" s="370"/>
      <c r="GB38" s="370"/>
      <c r="GC38" s="370"/>
      <c r="GD38" s="370"/>
      <c r="GE38" s="370"/>
      <c r="GF38" s="370"/>
      <c r="GG38" s="370"/>
      <c r="GH38" s="370"/>
      <c r="GI38" s="370"/>
      <c r="GJ38" s="370"/>
      <c r="GK38" s="370"/>
      <c r="GL38" s="370"/>
      <c r="GM38" s="370"/>
      <c r="GN38" s="370"/>
      <c r="GO38" s="370"/>
      <c r="GP38" s="370"/>
      <c r="GQ38" s="370"/>
      <c r="GR38" s="370"/>
      <c r="GS38" s="370"/>
      <c r="GT38" s="370"/>
      <c r="GU38" s="370"/>
      <c r="GV38" s="370"/>
      <c r="GW38" s="370"/>
      <c r="GX38" s="370"/>
      <c r="GY38" s="370"/>
      <c r="GZ38" s="370"/>
      <c r="HA38" s="370"/>
      <c r="HB38" s="370"/>
      <c r="HC38" s="370"/>
      <c r="HD38" s="370"/>
      <c r="HE38" s="370"/>
      <c r="HF38" s="370"/>
      <c r="HG38" s="370"/>
      <c r="HH38" s="370"/>
      <c r="HI38" s="370"/>
      <c r="HJ38" s="370"/>
      <c r="HK38" s="370"/>
      <c r="HL38" s="370"/>
      <c r="HM38" s="370"/>
      <c r="HN38" s="370"/>
      <c r="HO38" s="370"/>
      <c r="HP38" s="370"/>
      <c r="HQ38" s="370"/>
      <c r="HR38" s="370"/>
      <c r="HS38" s="370"/>
      <c r="HT38" s="370"/>
      <c r="HU38" s="370"/>
      <c r="HV38" s="370"/>
      <c r="HW38" s="370"/>
      <c r="HX38" s="370"/>
      <c r="HY38" s="370"/>
      <c r="HZ38" s="370"/>
      <c r="IA38" s="370"/>
      <c r="IB38" s="370"/>
      <c r="IC38" s="370"/>
      <c r="ID38" s="370"/>
      <c r="IE38" s="370"/>
      <c r="IF38" s="370"/>
      <c r="IG38" s="370"/>
      <c r="IH38" s="370"/>
      <c r="II38" s="370"/>
      <c r="IJ38" s="370"/>
      <c r="IK38" s="370"/>
      <c r="IL38" s="370"/>
      <c r="IM38" s="370"/>
      <c r="IN38" s="370"/>
      <c r="IO38" s="370"/>
      <c r="IP38" s="370"/>
      <c r="IQ38" s="370"/>
      <c r="IR38" s="370"/>
      <c r="IS38" s="370"/>
      <c r="IT38" s="370"/>
      <c r="IU38" s="370"/>
      <c r="IV38" s="370"/>
      <c r="IW38" s="370"/>
    </row>
    <row r="39" customFormat="false" ht="12.75" hidden="false" customHeight="true" outlineLevel="0" collapsed="false">
      <c r="A39" s="294" t="s">
        <v>343</v>
      </c>
      <c r="B39" s="294" t="s">
        <v>344</v>
      </c>
      <c r="C39" s="294" t="s">
        <v>5</v>
      </c>
      <c r="D39" s="294" t="s">
        <v>329</v>
      </c>
      <c r="E39" s="359" t="n">
        <v>26511</v>
      </c>
      <c r="F39" s="294" t="s">
        <v>353</v>
      </c>
      <c r="G39" s="375" t="n">
        <v>36465</v>
      </c>
      <c r="H39" s="378" t="n">
        <v>37560</v>
      </c>
      <c r="I39" s="360" t="n">
        <v>21000</v>
      </c>
      <c r="M39" s="361" t="s">
        <v>346</v>
      </c>
      <c r="N39" s="360" t="n">
        <f aca="false">(N16*N$30)</f>
        <v>403620</v>
      </c>
      <c r="O39" s="360" t="n">
        <f aca="false">(O16*O$30)</f>
        <v>346920</v>
      </c>
      <c r="P39" s="360" t="n">
        <f aca="false">(P16*P$30)</f>
        <v>338520</v>
      </c>
      <c r="Q39" s="360" t="n">
        <f aca="false">(Q16*Q$30)</f>
        <v>434700</v>
      </c>
      <c r="R39" s="360" t="n">
        <f aca="false">(R16*R$30)+(7000*R$1)</f>
        <v>562030</v>
      </c>
      <c r="S39" s="360" t="n">
        <f aca="false">(S16*S$30)+(7000*S$1)</f>
        <v>493500</v>
      </c>
      <c r="T39" s="360" t="n">
        <f aca="false">(T16*T$30)</f>
        <v>292950</v>
      </c>
      <c r="U39" s="360" t="n">
        <f aca="false">(U16*U$30)+(7000*U$1)</f>
        <v>509950</v>
      </c>
      <c r="V39" s="360" t="n">
        <f aca="false">(V16*V$30)+(7000*V$1)</f>
        <v>520590</v>
      </c>
      <c r="W39" s="360" t="n">
        <f aca="false">(W16*W$30)+(7000*W$1)</f>
        <v>557473</v>
      </c>
      <c r="X39" s="360" t="n">
        <f aca="false">(X16*X$30)+(7000*X$1)</f>
        <v>594300</v>
      </c>
      <c r="Y39" s="360" t="n">
        <f aca="false">(Y16*Y$30)+(7000*Y$1)</f>
        <v>542500</v>
      </c>
    </row>
    <row r="40" customFormat="false" ht="12.75" hidden="false" customHeight="true" outlineLevel="0" collapsed="false">
      <c r="A40" s="294" t="s">
        <v>343</v>
      </c>
      <c r="B40" s="294" t="s">
        <v>344</v>
      </c>
      <c r="C40" s="294" t="s">
        <v>5</v>
      </c>
      <c r="D40" s="294" t="s">
        <v>329</v>
      </c>
      <c r="E40" s="359" t="n">
        <v>26683</v>
      </c>
      <c r="F40" s="294" t="s">
        <v>356</v>
      </c>
      <c r="G40" s="375" t="n">
        <v>36220</v>
      </c>
      <c r="H40" s="376" t="n">
        <v>37346</v>
      </c>
      <c r="I40" s="360" t="n">
        <v>8000</v>
      </c>
      <c r="M40" s="361" t="s">
        <v>346</v>
      </c>
      <c r="N40" s="360" t="n">
        <f aca="false">N17*N$30</f>
        <v>153760</v>
      </c>
      <c r="O40" s="360" t="n">
        <f aca="false">O17*O$30</f>
        <v>132160</v>
      </c>
      <c r="P40" s="360" t="n">
        <f aca="false">P17*P$30</f>
        <v>128960</v>
      </c>
      <c r="Q40" s="360" t="n">
        <f aca="false">Q17*Q$30</f>
        <v>0</v>
      </c>
      <c r="R40" s="360" t="n">
        <f aca="false">R17*R$30</f>
        <v>0</v>
      </c>
      <c r="S40" s="360" t="n">
        <f aca="false">S17*S$30</f>
        <v>0</v>
      </c>
      <c r="T40" s="360" t="n">
        <f aca="false">T17*T$30</f>
        <v>0</v>
      </c>
      <c r="U40" s="360" t="n">
        <f aca="false">U17*U$30</f>
        <v>0</v>
      </c>
      <c r="V40" s="360" t="n">
        <f aca="false">V17*V$30</f>
        <v>0</v>
      </c>
      <c r="W40" s="360" t="n">
        <f aca="false">W17*W$30</f>
        <v>0</v>
      </c>
      <c r="X40" s="360" t="n">
        <f aca="false">X17*X$30</f>
        <v>0</v>
      </c>
      <c r="Y40" s="360" t="n">
        <f aca="false">Y17*Y$30</f>
        <v>0</v>
      </c>
    </row>
    <row r="41" customFormat="false" ht="12.75" hidden="false" customHeight="true" outlineLevel="0" collapsed="false">
      <c r="A41" s="294" t="s">
        <v>343</v>
      </c>
      <c r="B41" s="294" t="s">
        <v>344</v>
      </c>
      <c r="C41" s="294" t="s">
        <v>5</v>
      </c>
      <c r="D41" s="294" t="s">
        <v>329</v>
      </c>
      <c r="E41" s="359" t="n">
        <v>26758</v>
      </c>
      <c r="F41" s="294" t="s">
        <v>357</v>
      </c>
      <c r="G41" s="375" t="n">
        <v>36647</v>
      </c>
      <c r="H41" s="378" t="n">
        <v>38472</v>
      </c>
      <c r="I41" s="360" t="n">
        <v>40000</v>
      </c>
      <c r="M41" s="361" t="s">
        <v>346</v>
      </c>
      <c r="N41" s="360" t="n">
        <f aca="false">(N18*N$30)</f>
        <v>768800</v>
      </c>
      <c r="O41" s="360" t="n">
        <f aca="false">(O18*O$30)</f>
        <v>660800</v>
      </c>
      <c r="P41" s="360" t="n">
        <f aca="false">(P18*P$30)</f>
        <v>644800</v>
      </c>
      <c r="Q41" s="360" t="n">
        <f aca="false">(Q18*Q$30)</f>
        <v>828000</v>
      </c>
      <c r="R41" s="360" t="n">
        <f aca="false">(R18*R$30)+(12000*R$1)</f>
        <v>1029200</v>
      </c>
      <c r="S41" s="360" t="n">
        <f aca="false">(S18*S$30)+(12000*S$1)</f>
        <v>900000</v>
      </c>
      <c r="T41" s="360" t="n">
        <f aca="false">(T18*T$30)+(200*T$1)</f>
        <v>564200</v>
      </c>
      <c r="U41" s="360" t="n">
        <f aca="false">(U18*U$30)+(12000*U$1)</f>
        <v>930000</v>
      </c>
      <c r="V41" s="360" t="n">
        <f aca="false">(V18*V$30)+(12000*V$1)</f>
        <v>951600</v>
      </c>
      <c r="W41" s="360" t="n">
        <f aca="false">(W18*W$30)+(12000*W$1)</f>
        <v>1020520</v>
      </c>
      <c r="X41" s="360" t="n">
        <f aca="false">(X18*X$30)+(12000*X$1)</f>
        <v>1092000</v>
      </c>
      <c r="Y41" s="360" t="n">
        <f aca="false">(Y18*Y$30)+(12000*Y$1)</f>
        <v>992000</v>
      </c>
    </row>
    <row r="42" customFormat="false" ht="12.75" hidden="false" customHeight="true" outlineLevel="0" collapsed="false">
      <c r="A42" s="370" t="s">
        <v>343</v>
      </c>
      <c r="B42" s="370" t="s">
        <v>344</v>
      </c>
      <c r="C42" s="370" t="s">
        <v>5</v>
      </c>
      <c r="D42" s="370" t="s">
        <v>329</v>
      </c>
      <c r="E42" s="379" t="n">
        <v>26683</v>
      </c>
      <c r="F42" s="380" t="s">
        <v>356</v>
      </c>
      <c r="G42" s="380" t="s">
        <v>358</v>
      </c>
      <c r="H42" s="376" t="n">
        <v>37346</v>
      </c>
      <c r="I42" s="381" t="n">
        <v>8000</v>
      </c>
      <c r="J42" s="370"/>
      <c r="K42" s="413"/>
      <c r="L42" s="370"/>
      <c r="M42" s="382"/>
      <c r="N42" s="373"/>
      <c r="O42" s="373"/>
      <c r="P42" s="373"/>
      <c r="Q42" s="373" t="n">
        <f aca="false">Q19*Q$30</f>
        <v>165600</v>
      </c>
      <c r="R42" s="373" t="n">
        <f aca="false">R19*R$30</f>
        <v>131440</v>
      </c>
      <c r="S42" s="373" t="n">
        <f aca="false">S19*S$30</f>
        <v>108000</v>
      </c>
      <c r="T42" s="373" t="n">
        <f aca="false">T19*T$30</f>
        <v>111600</v>
      </c>
      <c r="U42" s="373" t="n">
        <f aca="false">U19*U$30</f>
        <v>111600</v>
      </c>
      <c r="V42" s="373" t="n">
        <f aca="false">V19*V$30</f>
        <v>118320</v>
      </c>
      <c r="W42" s="373" t="n">
        <f aca="false">W19*W$30</f>
        <v>129704</v>
      </c>
      <c r="X42" s="373" t="n">
        <f aca="false">X19*X$30</f>
        <v>146400</v>
      </c>
      <c r="Y42" s="373" t="n">
        <f aca="false">Y19*Y$30</f>
        <v>124000</v>
      </c>
      <c r="Z42" s="370"/>
      <c r="AA42" s="370"/>
      <c r="AB42" s="370"/>
      <c r="AC42" s="370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370"/>
      <c r="AO42" s="370"/>
      <c r="AP42" s="370"/>
      <c r="AQ42" s="370"/>
      <c r="AR42" s="370"/>
      <c r="AS42" s="370"/>
      <c r="AT42" s="370"/>
      <c r="AU42" s="370"/>
      <c r="AV42" s="370"/>
      <c r="AW42" s="370"/>
      <c r="AX42" s="370"/>
      <c r="AY42" s="370"/>
      <c r="AZ42" s="370"/>
      <c r="BA42" s="370"/>
      <c r="BB42" s="370"/>
      <c r="BC42" s="370"/>
      <c r="BD42" s="370"/>
      <c r="BE42" s="370"/>
      <c r="BF42" s="370"/>
      <c r="BG42" s="370"/>
      <c r="BH42" s="370"/>
      <c r="BI42" s="370"/>
      <c r="BJ42" s="370"/>
      <c r="BK42" s="370"/>
      <c r="BL42" s="370"/>
      <c r="BM42" s="370"/>
      <c r="BN42" s="370"/>
      <c r="BO42" s="370"/>
      <c r="BP42" s="370"/>
      <c r="BQ42" s="370"/>
      <c r="BR42" s="370"/>
      <c r="BS42" s="370"/>
      <c r="BT42" s="370"/>
      <c r="BU42" s="370"/>
      <c r="BV42" s="370"/>
      <c r="BW42" s="370"/>
      <c r="BX42" s="370"/>
      <c r="BY42" s="370"/>
      <c r="BZ42" s="370"/>
      <c r="CA42" s="370"/>
      <c r="CB42" s="370"/>
      <c r="CC42" s="370"/>
      <c r="CD42" s="370"/>
      <c r="CE42" s="370"/>
      <c r="CF42" s="370"/>
      <c r="CG42" s="370"/>
      <c r="CH42" s="370"/>
      <c r="CI42" s="370"/>
      <c r="CJ42" s="370"/>
      <c r="CK42" s="370"/>
      <c r="CL42" s="370"/>
      <c r="CM42" s="370"/>
      <c r="CN42" s="370"/>
      <c r="CO42" s="370"/>
      <c r="CP42" s="370"/>
      <c r="CQ42" s="370"/>
      <c r="CR42" s="370"/>
      <c r="CS42" s="370"/>
      <c r="CT42" s="370"/>
      <c r="CU42" s="370"/>
      <c r="CV42" s="370"/>
      <c r="CW42" s="370"/>
      <c r="CX42" s="370"/>
      <c r="CY42" s="370"/>
      <c r="CZ42" s="370"/>
      <c r="DA42" s="370"/>
      <c r="DB42" s="370"/>
      <c r="DC42" s="370"/>
      <c r="DD42" s="370"/>
      <c r="DE42" s="370"/>
      <c r="DF42" s="370"/>
      <c r="DG42" s="370"/>
      <c r="DH42" s="370"/>
      <c r="DI42" s="370"/>
      <c r="DJ42" s="370"/>
      <c r="DK42" s="370"/>
      <c r="DL42" s="370"/>
      <c r="DM42" s="370"/>
      <c r="DN42" s="370"/>
      <c r="DO42" s="370"/>
      <c r="DP42" s="370"/>
      <c r="DQ42" s="370"/>
      <c r="DR42" s="370"/>
      <c r="DS42" s="370"/>
      <c r="DT42" s="370"/>
      <c r="DU42" s="370"/>
      <c r="DV42" s="370"/>
      <c r="DW42" s="370"/>
      <c r="DX42" s="370"/>
      <c r="DY42" s="370"/>
      <c r="DZ42" s="370"/>
      <c r="EA42" s="370"/>
      <c r="EB42" s="370"/>
      <c r="EC42" s="370"/>
      <c r="ED42" s="370"/>
      <c r="EE42" s="370"/>
      <c r="EF42" s="370"/>
      <c r="EG42" s="370"/>
      <c r="EH42" s="370"/>
      <c r="EI42" s="370"/>
      <c r="EJ42" s="370"/>
      <c r="EK42" s="370"/>
      <c r="EL42" s="370"/>
      <c r="EM42" s="370"/>
      <c r="EN42" s="370"/>
      <c r="EO42" s="370"/>
      <c r="EP42" s="370"/>
      <c r="EQ42" s="370"/>
      <c r="ER42" s="370"/>
      <c r="ES42" s="370"/>
      <c r="ET42" s="370"/>
      <c r="EU42" s="370"/>
      <c r="EV42" s="370"/>
      <c r="EW42" s="370"/>
      <c r="EX42" s="370"/>
      <c r="EY42" s="370"/>
      <c r="EZ42" s="370"/>
      <c r="FA42" s="370"/>
      <c r="FB42" s="370"/>
      <c r="FC42" s="370"/>
      <c r="FD42" s="370"/>
      <c r="FE42" s="370"/>
      <c r="FF42" s="370"/>
      <c r="FG42" s="370"/>
      <c r="FH42" s="370"/>
      <c r="FI42" s="370"/>
      <c r="FJ42" s="370"/>
      <c r="FK42" s="370"/>
      <c r="FL42" s="370"/>
      <c r="FM42" s="370"/>
      <c r="FN42" s="370"/>
      <c r="FO42" s="370"/>
      <c r="FP42" s="370"/>
      <c r="FQ42" s="370"/>
      <c r="FR42" s="370"/>
      <c r="FS42" s="370"/>
      <c r="FT42" s="370"/>
      <c r="FU42" s="370"/>
      <c r="FV42" s="370"/>
      <c r="FW42" s="370"/>
      <c r="FX42" s="370"/>
      <c r="FY42" s="370"/>
      <c r="FZ42" s="370"/>
      <c r="GA42" s="370"/>
      <c r="GB42" s="370"/>
      <c r="GC42" s="370"/>
      <c r="GD42" s="370"/>
      <c r="GE42" s="370"/>
      <c r="GF42" s="370"/>
      <c r="GG42" s="370"/>
      <c r="GH42" s="370"/>
      <c r="GI42" s="370"/>
      <c r="GJ42" s="370"/>
      <c r="GK42" s="370"/>
      <c r="GL42" s="370"/>
      <c r="GM42" s="370"/>
      <c r="GN42" s="370"/>
      <c r="GO42" s="370"/>
      <c r="GP42" s="370"/>
      <c r="GQ42" s="370"/>
      <c r="GR42" s="370"/>
      <c r="GS42" s="370"/>
      <c r="GT42" s="370"/>
      <c r="GU42" s="370"/>
      <c r="GV42" s="370"/>
      <c r="GW42" s="370"/>
      <c r="GX42" s="370"/>
      <c r="GY42" s="370"/>
      <c r="GZ42" s="370"/>
      <c r="HA42" s="370"/>
      <c r="HB42" s="370"/>
      <c r="HC42" s="370"/>
      <c r="HD42" s="370"/>
      <c r="HE42" s="370"/>
      <c r="HF42" s="370"/>
      <c r="HG42" s="370"/>
      <c r="HH42" s="370"/>
      <c r="HI42" s="370"/>
      <c r="HJ42" s="370"/>
      <c r="HK42" s="370"/>
      <c r="HL42" s="370"/>
      <c r="HM42" s="370"/>
      <c r="HN42" s="370"/>
      <c r="HO42" s="370"/>
      <c r="HP42" s="370"/>
      <c r="HQ42" s="370"/>
      <c r="HR42" s="370"/>
      <c r="HS42" s="370"/>
      <c r="HT42" s="370"/>
      <c r="HU42" s="370"/>
      <c r="HV42" s="370"/>
      <c r="HW42" s="370"/>
      <c r="HX42" s="370"/>
      <c r="HY42" s="370"/>
      <c r="HZ42" s="370"/>
      <c r="IA42" s="370"/>
      <c r="IB42" s="370"/>
      <c r="IC42" s="370"/>
      <c r="ID42" s="370"/>
      <c r="IE42" s="370"/>
      <c r="IF42" s="370"/>
      <c r="IG42" s="370"/>
      <c r="IH42" s="370"/>
      <c r="II42" s="370"/>
      <c r="IJ42" s="370"/>
      <c r="IK42" s="370"/>
      <c r="IL42" s="370"/>
      <c r="IM42" s="370"/>
      <c r="IN42" s="370"/>
      <c r="IO42" s="370"/>
      <c r="IP42" s="370"/>
      <c r="IQ42" s="370"/>
      <c r="IR42" s="370"/>
      <c r="IS42" s="370"/>
      <c r="IT42" s="370"/>
      <c r="IU42" s="370"/>
      <c r="IV42" s="370"/>
      <c r="IW42" s="370"/>
    </row>
    <row r="43" customFormat="false" ht="12.75" hidden="false" customHeight="true" outlineLevel="0" collapsed="false">
      <c r="A43" s="383" t="s">
        <v>343</v>
      </c>
      <c r="B43" s="383" t="s">
        <v>344</v>
      </c>
      <c r="C43" s="383" t="s">
        <v>5</v>
      </c>
      <c r="D43" s="383" t="s">
        <v>329</v>
      </c>
      <c r="E43" s="414"/>
      <c r="F43" s="383" t="s">
        <v>356</v>
      </c>
      <c r="G43" s="383"/>
      <c r="H43" s="384"/>
      <c r="I43" s="310" t="n">
        <v>14000</v>
      </c>
      <c r="Q43" s="310" t="n">
        <f aca="false">Q20*Q$30</f>
        <v>289800</v>
      </c>
      <c r="R43" s="310" t="n">
        <f aca="false">R20*R$30</f>
        <v>230020</v>
      </c>
      <c r="S43" s="310" t="n">
        <f aca="false">S20*S$30</f>
        <v>189000</v>
      </c>
      <c r="T43" s="310" t="n">
        <f aca="false">T20*T$30</f>
        <v>195300</v>
      </c>
      <c r="U43" s="310" t="n">
        <f aca="false">U20*U$30</f>
        <v>195300</v>
      </c>
      <c r="V43" s="310" t="n">
        <f aca="false">V20*V$30</f>
        <v>207060</v>
      </c>
      <c r="W43" s="310" t="n">
        <f aca="false">W20*W$30</f>
        <v>226982</v>
      </c>
      <c r="X43" s="373"/>
      <c r="Y43" s="373"/>
    </row>
    <row r="44" customFormat="false" ht="12.75" hidden="false" customHeight="true" outlineLevel="0" collapsed="false">
      <c r="A44" s="294" t="s">
        <v>343</v>
      </c>
      <c r="B44" s="294" t="s">
        <v>344</v>
      </c>
      <c r="C44" s="294" t="s">
        <v>5</v>
      </c>
      <c r="D44" s="294" t="s">
        <v>329</v>
      </c>
      <c r="E44" s="359" t="n">
        <v>26819</v>
      </c>
      <c r="F44" s="294" t="s">
        <v>359</v>
      </c>
      <c r="G44" s="375" t="n">
        <v>36647</v>
      </c>
      <c r="H44" s="378" t="n">
        <v>38472</v>
      </c>
      <c r="I44" s="360" t="n">
        <v>10000</v>
      </c>
      <c r="M44" s="361" t="s">
        <v>346</v>
      </c>
      <c r="N44" s="360" t="n">
        <f aca="false">(N21*N$30)</f>
        <v>192200</v>
      </c>
      <c r="O44" s="360" t="n">
        <f aca="false">(O21*O$30)</f>
        <v>165200</v>
      </c>
      <c r="P44" s="360" t="n">
        <f aca="false">(P21*P$30)</f>
        <v>161200</v>
      </c>
      <c r="Q44" s="360" t="n">
        <f aca="false">(Q21*Q$30)</f>
        <v>207000</v>
      </c>
      <c r="R44" s="360" t="n">
        <f aca="false">(R21*R$30)+(3000*R$1)</f>
        <v>257300</v>
      </c>
      <c r="S44" s="360" t="n">
        <f aca="false">(S21*S$30)+(3000*S$1)</f>
        <v>225000</v>
      </c>
      <c r="T44" s="360" t="n">
        <f aca="false">(T21*T$30)</f>
        <v>139500</v>
      </c>
      <c r="U44" s="360" t="n">
        <f aca="false">(U21*U$30)+(3000*U$1)</f>
        <v>232500</v>
      </c>
      <c r="V44" s="360" t="n">
        <f aca="false">(V21*V$30)+(3000*V$1)</f>
        <v>237900</v>
      </c>
      <c r="W44" s="360" t="n">
        <f aca="false">(W21*W$30)+(3000*W$1)</f>
        <v>255130</v>
      </c>
      <c r="X44" s="360" t="n">
        <f aca="false">(X21*X$30)+(3000*X$1)</f>
        <v>273000</v>
      </c>
      <c r="Y44" s="360" t="n">
        <f aca="false">(Y21*Y$30)+(3000*Y$1)</f>
        <v>248000</v>
      </c>
    </row>
    <row r="45" customFormat="false" ht="12.75" hidden="false" customHeight="true" outlineLevel="0" collapsed="false">
      <c r="A45" s="380" t="s">
        <v>343</v>
      </c>
      <c r="B45" s="380" t="s">
        <v>344</v>
      </c>
      <c r="C45" s="380" t="s">
        <v>5</v>
      </c>
      <c r="D45" s="380" t="s">
        <v>329</v>
      </c>
      <c r="E45" s="379" t="n">
        <v>27352</v>
      </c>
      <c r="F45" s="380" t="s">
        <v>347</v>
      </c>
      <c r="G45" s="387" t="n">
        <v>37196</v>
      </c>
      <c r="H45" s="376" t="n">
        <v>37560</v>
      </c>
      <c r="I45" s="381" t="n">
        <v>21500</v>
      </c>
      <c r="M45" s="361" t="s">
        <v>346</v>
      </c>
      <c r="X45" s="381" t="n">
        <f aca="false">(X22*X$30)</f>
        <v>393450</v>
      </c>
      <c r="Y45" s="381" t="n">
        <f aca="false">(Y22*Y$30)</f>
        <v>333250</v>
      </c>
    </row>
    <row r="46" customFormat="false" ht="12.75" hidden="false" customHeight="true" outlineLevel="0" collapsed="false">
      <c r="A46" s="380" t="s">
        <v>343</v>
      </c>
      <c r="B46" s="380" t="s">
        <v>344</v>
      </c>
      <c r="C46" s="380" t="s">
        <v>5</v>
      </c>
      <c r="D46" s="380" t="s">
        <v>329</v>
      </c>
      <c r="E46" s="379" t="n">
        <v>27427</v>
      </c>
      <c r="F46" s="380" t="s">
        <v>360</v>
      </c>
      <c r="G46" s="387" t="n">
        <v>36951</v>
      </c>
      <c r="H46" s="376" t="n">
        <v>36981</v>
      </c>
      <c r="I46" s="381" t="n">
        <v>10000</v>
      </c>
      <c r="M46" s="388" t="s">
        <v>352</v>
      </c>
      <c r="P46" s="381" t="n">
        <f aca="false">(P23*P$30)</f>
        <v>161200</v>
      </c>
    </row>
    <row r="47" customFormat="false" ht="12.75" hidden="false" customHeight="true" outlineLevel="0" collapsed="false">
      <c r="A47" s="389" t="s">
        <v>343</v>
      </c>
      <c r="B47" s="389" t="s">
        <v>344</v>
      </c>
      <c r="C47" s="389" t="s">
        <v>5</v>
      </c>
      <c r="D47" s="389" t="s">
        <v>329</v>
      </c>
      <c r="E47" s="415" t="s">
        <v>365</v>
      </c>
      <c r="F47" s="389" t="s">
        <v>361</v>
      </c>
      <c r="G47" s="390" t="n">
        <v>37196</v>
      </c>
      <c r="H47" s="391" t="n">
        <v>37256</v>
      </c>
      <c r="I47" s="392" t="n">
        <v>20000</v>
      </c>
      <c r="M47" s="416" t="s">
        <v>352</v>
      </c>
      <c r="P47" s="381"/>
      <c r="X47" s="392" t="n">
        <v>600000</v>
      </c>
      <c r="Y47" s="392" t="n">
        <v>620000</v>
      </c>
    </row>
    <row r="48" customFormat="false" ht="12.75" hidden="false" customHeight="true" outlineLevel="0" collapsed="false">
      <c r="A48" s="380" t="s">
        <v>343</v>
      </c>
      <c r="B48" s="380" t="s">
        <v>344</v>
      </c>
      <c r="C48" s="380" t="s">
        <v>5</v>
      </c>
      <c r="D48" s="380" t="s">
        <v>329</v>
      </c>
      <c r="E48" s="379" t="n">
        <v>27581</v>
      </c>
      <c r="F48" s="383" t="s">
        <v>362</v>
      </c>
      <c r="G48" s="393" t="n">
        <v>37196</v>
      </c>
      <c r="H48" s="394" t="n">
        <v>37225</v>
      </c>
      <c r="I48" s="310" t="n">
        <v>27500</v>
      </c>
      <c r="M48" s="388"/>
      <c r="P48" s="381"/>
      <c r="X48" s="381" t="n">
        <f aca="false">(X25*X$30)</f>
        <v>503250</v>
      </c>
    </row>
    <row r="49" customFormat="false" ht="12.75" hidden="false" customHeight="true" outlineLevel="0" collapsed="false">
      <c r="A49" s="380" t="s">
        <v>343</v>
      </c>
      <c r="B49" s="380" t="s">
        <v>344</v>
      </c>
      <c r="C49" s="380" t="s">
        <v>5</v>
      </c>
      <c r="D49" s="380" t="s">
        <v>329</v>
      </c>
      <c r="E49" s="379" t="n">
        <v>27581</v>
      </c>
      <c r="F49" s="383" t="s">
        <v>362</v>
      </c>
      <c r="G49" s="393" t="n">
        <v>37226</v>
      </c>
      <c r="H49" s="394" t="n">
        <v>37256</v>
      </c>
      <c r="I49" s="395" t="n">
        <v>14000</v>
      </c>
      <c r="M49" s="388"/>
      <c r="N49" s="368"/>
      <c r="O49" s="368"/>
      <c r="P49" s="396"/>
      <c r="Q49" s="368"/>
      <c r="R49" s="368"/>
      <c r="S49" s="368"/>
      <c r="T49" s="368"/>
      <c r="U49" s="368"/>
      <c r="V49" s="368"/>
      <c r="W49" s="368"/>
      <c r="X49" s="368"/>
      <c r="Y49" s="396" t="n">
        <f aca="false">(Y26*Y$30)</f>
        <v>217000</v>
      </c>
    </row>
    <row r="50" customFormat="false" ht="12.75" hidden="false" customHeight="true" outlineLevel="0" collapsed="false">
      <c r="Z50" s="333"/>
    </row>
    <row r="51" customFormat="false" ht="12.75" hidden="false" customHeight="true" outlineLevel="0" collapsed="false">
      <c r="I51" s="360" t="n">
        <f aca="false">SUM(I31:I50)</f>
        <v>713000</v>
      </c>
      <c r="N51" s="360" t="n">
        <f aca="false">SUM(N31:N49)</f>
        <v>12132160</v>
      </c>
      <c r="O51" s="360" t="n">
        <f aca="false">SUM(O31:O49)</f>
        <v>10472560</v>
      </c>
      <c r="P51" s="360" t="n">
        <f aca="false">SUM(P31:P49)</f>
        <v>10501560</v>
      </c>
      <c r="Q51" s="360" t="n">
        <f aca="false">SUM(Q31:Q49)</f>
        <v>10164600</v>
      </c>
      <c r="R51" s="360" t="n">
        <f aca="false">SUM(R31:R49)</f>
        <v>9141540</v>
      </c>
      <c r="S51" s="360" t="n">
        <f aca="false">SUM(S31:S49)</f>
        <v>9453000</v>
      </c>
      <c r="T51" s="360" t="n">
        <f aca="false">SUM(T31:T49)</f>
        <v>9092300</v>
      </c>
      <c r="U51" s="360" t="n">
        <f aca="false">SUM(U31:U49)</f>
        <v>9768100</v>
      </c>
      <c r="V51" s="360" t="n">
        <f aca="false">SUM(V31:V49)</f>
        <v>9958620</v>
      </c>
      <c r="W51" s="360" t="n">
        <f aca="false">SUM(W31:W49)</f>
        <v>11076114</v>
      </c>
      <c r="X51" s="360" t="n">
        <f aca="false">SUM(X31:X49)</f>
        <v>12827400</v>
      </c>
      <c r="Y51" s="360" t="n">
        <f aca="false">SUM(Y31:Y49)</f>
        <v>11074750</v>
      </c>
      <c r="Z51" s="417"/>
    </row>
    <row r="54" customFormat="false" ht="12.75" hidden="false" customHeight="true" outlineLevel="0" collapsed="false">
      <c r="A54" s="294" t="s">
        <v>343</v>
      </c>
      <c r="B54" s="294" t="s">
        <v>344</v>
      </c>
      <c r="C54" s="294" t="s">
        <v>6</v>
      </c>
      <c r="D54" s="294" t="s">
        <v>332</v>
      </c>
      <c r="E54" s="369" t="n">
        <v>26751</v>
      </c>
      <c r="F54" s="370" t="s">
        <v>345</v>
      </c>
      <c r="G54" s="371" t="n">
        <v>36557</v>
      </c>
      <c r="H54" s="372" t="n">
        <v>36922</v>
      </c>
      <c r="K54" s="357" t="n">
        <v>0.1064</v>
      </c>
      <c r="L54" s="294" t="n">
        <v>0.0246</v>
      </c>
      <c r="M54" s="361" t="s">
        <v>346</v>
      </c>
      <c r="N54" s="360" t="n">
        <f aca="false">N9*($K54+$L54)-N76</f>
        <v>71763.76</v>
      </c>
      <c r="O54" s="360" t="n">
        <f aca="false">O9*($K54+$L54)-O76</f>
        <v>0</v>
      </c>
      <c r="P54" s="360" t="n">
        <f aca="false">P9*($K54+$L54)-P76</f>
        <v>0</v>
      </c>
      <c r="Q54" s="360" t="n">
        <f aca="false">Q9*($K54+$L54)-Q76</f>
        <v>0</v>
      </c>
      <c r="R54" s="360" t="n">
        <f aca="false">R9*($K54+$L54)-R76</f>
        <v>0</v>
      </c>
      <c r="S54" s="360" t="n">
        <f aca="false">S9*($K54+$L54)-S76</f>
        <v>0</v>
      </c>
      <c r="T54" s="360" t="n">
        <f aca="false">T9*($K54+$L54)-T76</f>
        <v>0</v>
      </c>
      <c r="U54" s="360" t="n">
        <f aca="false">U9*($K54+$L54)-U76</f>
        <v>0</v>
      </c>
      <c r="V54" s="360" t="n">
        <f aca="false">V9*($K54+$L54)-V76</f>
        <v>0</v>
      </c>
      <c r="W54" s="360" t="n">
        <f aca="false">W9*($K54+$L54)-W76</f>
        <v>0</v>
      </c>
      <c r="X54" s="360" t="n">
        <f aca="false">X9*($K54+$L54)-X76</f>
        <v>0</v>
      </c>
      <c r="Y54" s="360" t="n">
        <f aca="false">Y9*($K54+$L54)-Y76</f>
        <v>0</v>
      </c>
    </row>
    <row r="55" customFormat="false" ht="12.75" hidden="false" customHeight="true" outlineLevel="0" collapsed="false">
      <c r="A55" s="294" t="s">
        <v>343</v>
      </c>
      <c r="B55" s="294" t="s">
        <v>344</v>
      </c>
      <c r="C55" s="294" t="s">
        <v>6</v>
      </c>
      <c r="D55" s="294" t="s">
        <v>332</v>
      </c>
      <c r="E55" s="374" t="n">
        <v>27293</v>
      </c>
      <c r="F55" s="294" t="s">
        <v>347</v>
      </c>
      <c r="G55" s="375" t="n">
        <v>36831</v>
      </c>
      <c r="H55" s="376" t="n">
        <v>37195</v>
      </c>
      <c r="K55" s="357" t="n">
        <v>0.2554</v>
      </c>
      <c r="L55" s="294" t="n">
        <v>0.0246</v>
      </c>
      <c r="M55" s="361" t="s">
        <v>346</v>
      </c>
      <c r="N55" s="360" t="n">
        <f aca="false">N10*($K55+$L55)-N78</f>
        <v>402152.212</v>
      </c>
      <c r="O55" s="360" t="n">
        <f aca="false">O10*($K55+$L55)-O78</f>
        <v>364246.792</v>
      </c>
      <c r="P55" s="360" t="n">
        <f aca="false">P10*($K55+$L55)-P78</f>
        <v>405888.952</v>
      </c>
      <c r="Q55" s="360" t="n">
        <f aca="false">Q10*($K55+$L55)-Q78</f>
        <v>386648.22</v>
      </c>
      <c r="R55" s="360" t="n">
        <f aca="false">R10*($K55+$L55)-R78</f>
        <v>405515.278</v>
      </c>
      <c r="S55" s="360" t="n">
        <f aca="false">S10*($K55+$L55)-S78</f>
        <v>395327.1</v>
      </c>
      <c r="T55" s="360" t="n">
        <f aca="false">T10*($K55+$L55)-T78</f>
        <v>408504.67</v>
      </c>
      <c r="U55" s="360" t="n">
        <f aca="false">U10*($K55+$L55)-U78</f>
        <v>408504.67</v>
      </c>
      <c r="V55" s="360" t="n">
        <f aca="false">V10*($K55+$L55)-V78</f>
        <v>393772.134</v>
      </c>
      <c r="W55" s="360" t="n">
        <f aca="false">W10*($K55+$L55)-W78</f>
        <v>405776.8498</v>
      </c>
      <c r="X55" s="360" t="n">
        <f aca="false">X10*($K55+$L55)-X78</f>
        <v>0</v>
      </c>
      <c r="Y55" s="360" t="n">
        <f aca="false">Y10*($K55+$L55)-Y78</f>
        <v>0</v>
      </c>
    </row>
    <row r="56" customFormat="false" ht="12.75" hidden="false" customHeight="true" outlineLevel="0" collapsed="false">
      <c r="A56" s="294" t="s">
        <v>343</v>
      </c>
      <c r="B56" s="294" t="s">
        <v>344</v>
      </c>
      <c r="C56" s="294" t="s">
        <v>6</v>
      </c>
      <c r="D56" s="294" t="s">
        <v>332</v>
      </c>
      <c r="E56" s="374" t="n">
        <v>27252</v>
      </c>
      <c r="F56" s="294" t="s">
        <v>348</v>
      </c>
      <c r="G56" s="377" t="s">
        <v>349</v>
      </c>
      <c r="H56" s="378" t="n">
        <v>40482</v>
      </c>
      <c r="K56" s="357" t="n">
        <v>0.1254</v>
      </c>
      <c r="L56" s="294" t="n">
        <v>0.0246</v>
      </c>
      <c r="M56" s="361" t="s">
        <v>346</v>
      </c>
      <c r="N56" s="360" t="n">
        <f aca="false">N11*($K56+$L56)-N79</f>
        <v>58480.632</v>
      </c>
      <c r="O56" s="360" t="n">
        <f aca="false">O11*($K56+$L56)-O79</f>
        <v>53110.512</v>
      </c>
      <c r="P56" s="360" t="n">
        <f aca="false">P11*($K56+$L56)-P79</f>
        <v>59548.272</v>
      </c>
      <c r="X56" s="360" t="n">
        <f aca="false">X11*($K56+$L56)-X79</f>
        <v>56697.48</v>
      </c>
      <c r="Y56" s="360" t="n">
        <f aca="false">Y11*($K56+$L56)-Y79</f>
        <v>59761.8</v>
      </c>
    </row>
    <row r="57" customFormat="false" ht="12.75" hidden="false" customHeight="true" outlineLevel="0" collapsed="false">
      <c r="A57" s="294" t="s">
        <v>343</v>
      </c>
      <c r="B57" s="294" t="s">
        <v>344</v>
      </c>
      <c r="C57" s="294" t="s">
        <v>6</v>
      </c>
      <c r="D57" s="294" t="s">
        <v>332</v>
      </c>
      <c r="E57" s="374" t="n">
        <v>26490</v>
      </c>
      <c r="F57" s="294" t="s">
        <v>350</v>
      </c>
      <c r="G57" s="375" t="n">
        <v>36100</v>
      </c>
      <c r="H57" s="376" t="n">
        <v>37925</v>
      </c>
      <c r="K57" s="357" t="n">
        <v>0.1154</v>
      </c>
      <c r="L57" s="294" t="n">
        <v>0.0246</v>
      </c>
      <c r="M57" s="361" t="s">
        <v>346</v>
      </c>
      <c r="N57" s="360" t="n">
        <f aca="false">N12*($K57+$L57)-N80</f>
        <v>270703.16</v>
      </c>
      <c r="O57" s="360" t="n">
        <f aca="false">O12*($K57+$L57)-O80</f>
        <v>245952.56</v>
      </c>
      <c r="P57" s="360" t="n">
        <f aca="false">P12*($K57+$L57)-P80</f>
        <v>276041.36</v>
      </c>
      <c r="Q57" s="360" t="n">
        <f aca="false">Q12*($K57+$L57)-Q80</f>
        <v>258354.6</v>
      </c>
      <c r="R57" s="360" t="n">
        <f aca="false">R12*($K57+$L57)-R80</f>
        <v>275507.54</v>
      </c>
      <c r="S57" s="360" t="n">
        <f aca="false">S12*($K57+$L57)-S80</f>
        <v>270753</v>
      </c>
      <c r="T57" s="360" t="n">
        <f aca="false">T12*($K57+$L57)-T80</f>
        <v>279778.1</v>
      </c>
      <c r="U57" s="360" t="n">
        <f aca="false">U12*($K57+$L57)-U80</f>
        <v>279778.1</v>
      </c>
      <c r="V57" s="360" t="n">
        <f aca="false">V12*($K57+$L57)-V80</f>
        <v>268531.62</v>
      </c>
      <c r="W57" s="360" t="n">
        <f aca="false">W12*($K57+$L57)-W80</f>
        <v>275881.214</v>
      </c>
    </row>
    <row r="58" customFormat="false" ht="12.75" hidden="false" customHeight="true" outlineLevel="0" collapsed="false">
      <c r="A58" s="294" t="s">
        <v>343</v>
      </c>
      <c r="B58" s="294" t="s">
        <v>344</v>
      </c>
      <c r="C58" s="294" t="s">
        <v>6</v>
      </c>
      <c r="D58" s="294" t="s">
        <v>332</v>
      </c>
      <c r="E58" s="359" t="n">
        <v>8255</v>
      </c>
      <c r="F58" s="294" t="s">
        <v>351</v>
      </c>
      <c r="H58" s="378" t="n">
        <v>38656</v>
      </c>
      <c r="K58" s="357" t="n">
        <f aca="false">0.3232+0.0686+0.003+0.0051+0.0007</f>
        <v>0.4006</v>
      </c>
      <c r="L58" s="294" t="n">
        <v>0.0343</v>
      </c>
      <c r="M58" s="361" t="s">
        <v>352</v>
      </c>
      <c r="N58" s="360" t="n">
        <f aca="false">N13*$K$58</f>
        <v>3800091.6</v>
      </c>
      <c r="O58" s="360" t="n">
        <f aca="false">O13*$K$58</f>
        <v>3432340.8</v>
      </c>
      <c r="P58" s="360" t="n">
        <f aca="false">P13*$K$58</f>
        <v>3800091.6</v>
      </c>
      <c r="Q58" s="360" t="n">
        <f aca="false">Q13*$K$58</f>
        <v>3677508</v>
      </c>
      <c r="R58" s="360" t="n">
        <f aca="false">R13*$K$58</f>
        <v>3800091.6</v>
      </c>
      <c r="S58" s="360" t="n">
        <f aca="false">S13*$K$58</f>
        <v>3677508</v>
      </c>
      <c r="T58" s="360" t="n">
        <f aca="false">T13*$K$58</f>
        <v>3800091.6</v>
      </c>
      <c r="U58" s="360" t="n">
        <f aca="false">U13*$K$58</f>
        <v>3800091.6</v>
      </c>
      <c r="V58" s="360" t="n">
        <f aca="false">V13*$K$58</f>
        <v>3677508</v>
      </c>
      <c r="W58" s="360" t="n">
        <f aca="false">W13*$K$58</f>
        <v>3800091.6</v>
      </c>
      <c r="X58" s="360" t="n">
        <f aca="false">X13*($K$58-0.0686+0.0065)</f>
        <v>3107430</v>
      </c>
      <c r="Y58" s="360" t="n">
        <f aca="false">Y13*($K$58-0.0686+0.0065)</f>
        <v>3211011</v>
      </c>
    </row>
    <row r="59" customFormat="false" ht="12.75" hidden="false" customHeight="true" outlineLevel="0" collapsed="false">
      <c r="A59" s="294" t="s">
        <v>343</v>
      </c>
      <c r="B59" s="294" t="s">
        <v>344</v>
      </c>
      <c r="C59" s="294" t="s">
        <v>6</v>
      </c>
      <c r="D59" s="294" t="s">
        <v>332</v>
      </c>
      <c r="E59" s="359" t="n">
        <v>25841</v>
      </c>
      <c r="F59" s="294" t="s">
        <v>353</v>
      </c>
      <c r="G59" s="375" t="n">
        <v>36557</v>
      </c>
      <c r="H59" s="378" t="n">
        <v>37560</v>
      </c>
      <c r="K59" s="357" t="n">
        <v>0.0829</v>
      </c>
      <c r="L59" s="294" t="n">
        <v>0.0246</v>
      </c>
      <c r="M59" s="361" t="s">
        <v>346</v>
      </c>
      <c r="N59" s="360" t="n">
        <f aca="false">N14*($K59+$L59)-N82</f>
        <v>114387.52</v>
      </c>
      <c r="O59" s="360" t="n">
        <f aca="false">O14*($K59+$L59)-O82</f>
        <v>104144.32</v>
      </c>
      <c r="P59" s="360" t="n">
        <f aca="false">P14*($K59+$L59)-P82</f>
        <v>117437.92</v>
      </c>
      <c r="Q59" s="360" t="n">
        <f aca="false">Q14*($K59+$L59)-Q82</f>
        <v>108631.2</v>
      </c>
      <c r="R59" s="360" t="n">
        <f aca="false">R14*($K59+$L59)-R82</f>
        <v>117132.88</v>
      </c>
      <c r="S59" s="360" t="n">
        <f aca="false">S14*($K59+$L59)-S82</f>
        <v>115716</v>
      </c>
      <c r="T59" s="360" t="n">
        <f aca="false">T14*($K59+$L59)-T82</f>
        <v>119573.2</v>
      </c>
      <c r="U59" s="360" t="n">
        <f aca="false">U14*($K59+$L59)-U82</f>
        <v>119573.2</v>
      </c>
      <c r="V59" s="360" t="n">
        <f aca="false">V14*($K59+$L59)-V82</f>
        <v>114446.64</v>
      </c>
      <c r="W59" s="360" t="n">
        <f aca="false">W14*($K59+$L59)-W82</f>
        <v>117346.408</v>
      </c>
      <c r="X59" s="360" t="n">
        <f aca="false">X14*($K59+$L59)-X82</f>
        <v>110992.8</v>
      </c>
      <c r="Y59" s="360" t="n">
        <f aca="false">Y14*($K59+$L59)-Y82</f>
        <v>118048</v>
      </c>
    </row>
    <row r="60" customFormat="false" ht="12.75" hidden="false" customHeight="true" outlineLevel="0" collapsed="false">
      <c r="A60" s="370" t="s">
        <v>343</v>
      </c>
      <c r="B60" s="370" t="s">
        <v>344</v>
      </c>
      <c r="C60" s="370" t="s">
        <v>6</v>
      </c>
      <c r="D60" s="370" t="s">
        <v>332</v>
      </c>
      <c r="E60" s="379" t="n">
        <v>27340</v>
      </c>
      <c r="F60" s="380" t="s">
        <v>354</v>
      </c>
      <c r="G60" s="379" t="s">
        <v>355</v>
      </c>
      <c r="H60" s="376" t="n">
        <v>37287</v>
      </c>
      <c r="K60" s="418" t="n">
        <v>0.3453</v>
      </c>
      <c r="L60" s="380" t="n">
        <v>0.0316</v>
      </c>
      <c r="M60" s="382" t="s">
        <v>346</v>
      </c>
      <c r="O60" s="373" t="n">
        <f aca="false">O15*($K60+$L60)-O83</f>
        <v>200623.36</v>
      </c>
      <c r="P60" s="373" t="n">
        <f aca="false">P15*($K60+$L60)-P83</f>
        <v>223490.16</v>
      </c>
      <c r="Q60" s="373" t="n">
        <f aca="false">Q15*($K60+$L60)-Q83</f>
        <v>213057.6</v>
      </c>
      <c r="R60" s="373" t="n">
        <f aca="false">R15*($K60+$L60)-R83</f>
        <v>223294.24</v>
      </c>
      <c r="S60" s="373" t="n">
        <f aca="false">S15*($K60+$L60)-S83</f>
        <v>217608</v>
      </c>
      <c r="T60" s="373" t="n">
        <f aca="false">T15*($K60+$L60)-T83</f>
        <v>224861.6</v>
      </c>
      <c r="U60" s="373" t="n">
        <f aca="false">U15*($K60+$L60)-U83</f>
        <v>224861.6</v>
      </c>
      <c r="V60" s="373" t="n">
        <f aca="false">V15*($K60+$L60)-V83</f>
        <v>216792.72</v>
      </c>
      <c r="W60" s="373" t="n">
        <f aca="false">W15*($K60+$L60)-W83</f>
        <v>223431.384</v>
      </c>
      <c r="X60" s="373" t="n">
        <f aca="false">X15*($K60+$L60)-X83</f>
        <v>214574.4</v>
      </c>
      <c r="Y60" s="373" t="n">
        <f aca="false">Y15*($K60+$L60)-Y83</f>
        <v>223882</v>
      </c>
      <c r="AC60" s="417" t="n">
        <f aca="false">SUM(N60:Y60)</f>
        <v>2406477.064</v>
      </c>
    </row>
    <row r="61" customFormat="false" ht="12.75" hidden="false" customHeight="true" outlineLevel="0" collapsed="false">
      <c r="A61" s="294" t="s">
        <v>343</v>
      </c>
      <c r="B61" s="294" t="s">
        <v>344</v>
      </c>
      <c r="C61" s="294" t="s">
        <v>6</v>
      </c>
      <c r="D61" s="294" t="s">
        <v>332</v>
      </c>
      <c r="E61" s="359" t="n">
        <v>26511</v>
      </c>
      <c r="F61" s="294" t="s">
        <v>353</v>
      </c>
      <c r="G61" s="375" t="n">
        <v>36465</v>
      </c>
      <c r="H61" s="378" t="n">
        <v>37560</v>
      </c>
      <c r="K61" s="357" t="n">
        <v>0.0829</v>
      </c>
      <c r="L61" s="294" t="n">
        <v>0.0246</v>
      </c>
      <c r="M61" s="361" t="s">
        <v>346</v>
      </c>
      <c r="N61" s="360" t="n">
        <f aca="false">N16*($K61+$L61)-N84</f>
        <v>60053.448</v>
      </c>
      <c r="O61" s="360" t="n">
        <f aca="false">O16*($K61+$L61)-O84</f>
        <v>54675.768</v>
      </c>
      <c r="P61" s="360" t="n">
        <f aca="false">P16*($K61+$L61)-P84</f>
        <v>61654.908</v>
      </c>
      <c r="Q61" s="360" t="n">
        <f aca="false">Q16*($K61+$L61)-Q84</f>
        <v>57031.38</v>
      </c>
      <c r="R61" s="360" t="n">
        <f aca="false">R16*($K61+$L61)-R84</f>
        <v>56156.562</v>
      </c>
      <c r="S61" s="360" t="n">
        <f aca="false">S16*($K61+$L61)-S84</f>
        <v>55584.9</v>
      </c>
      <c r="T61" s="360" t="n">
        <f aca="false">T16*($K61+$L61)-T84</f>
        <v>62775.93</v>
      </c>
      <c r="U61" s="360" t="n">
        <f aca="false">U16*($K61+$L61)-U84</f>
        <v>57437.73</v>
      </c>
      <c r="V61" s="360" t="n">
        <f aca="false">V16*($K61+$L61)-V84</f>
        <v>54918.486</v>
      </c>
      <c r="W61" s="360" t="n">
        <f aca="false">W16*($K61+$L61)-W84</f>
        <v>56268.6642</v>
      </c>
      <c r="X61" s="360" t="n">
        <f aca="false">X16*($K61+$L61)-X84</f>
        <v>53105.22</v>
      </c>
      <c r="Y61" s="360" t="n">
        <f aca="false">Y16*($K61+$L61)-Y84</f>
        <v>56637</v>
      </c>
    </row>
    <row r="62" customFormat="false" ht="12.75" hidden="false" customHeight="true" outlineLevel="0" collapsed="false">
      <c r="A62" s="294" t="s">
        <v>343</v>
      </c>
      <c r="B62" s="294" t="s">
        <v>344</v>
      </c>
      <c r="C62" s="294" t="s">
        <v>6</v>
      </c>
      <c r="D62" s="294" t="s">
        <v>332</v>
      </c>
      <c r="E62" s="359" t="n">
        <v>26683</v>
      </c>
      <c r="F62" s="294" t="s">
        <v>356</v>
      </c>
      <c r="G62" s="375" t="n">
        <v>36220</v>
      </c>
      <c r="H62" s="376" t="n">
        <v>37346</v>
      </c>
      <c r="K62" s="357" t="n">
        <v>0.1274</v>
      </c>
      <c r="L62" s="294" t="n">
        <v>0.0246</v>
      </c>
      <c r="M62" s="361" t="s">
        <v>346</v>
      </c>
      <c r="N62" s="360" t="n">
        <f aca="false">N17*($K62+$L62)-N85</f>
        <v>33913.504</v>
      </c>
      <c r="O62" s="360" t="n">
        <f aca="false">O17*($K62+$L62)-O85</f>
        <v>30796.864</v>
      </c>
      <c r="P62" s="360" t="n">
        <f aca="false">P17*($K62+$L62)-P85</f>
        <v>34523.584</v>
      </c>
      <c r="Q62" s="360" t="n">
        <f aca="false">Q17*($K62+$L62)-Q85</f>
        <v>0</v>
      </c>
      <c r="R62" s="360" t="n">
        <f aca="false">R17*($K62+$L62)-R85</f>
        <v>0</v>
      </c>
      <c r="S62" s="360" t="n">
        <f aca="false">S17*($K62+$L62)-S85</f>
        <v>0</v>
      </c>
      <c r="T62" s="360" t="n">
        <f aca="false">T17*($K62+$L62)-T85</f>
        <v>0</v>
      </c>
      <c r="U62" s="360" t="n">
        <f aca="false">U17*($K62+$L62)-U85</f>
        <v>0</v>
      </c>
      <c r="V62" s="360" t="n">
        <f aca="false">V17*($K62+$L62)-V85</f>
        <v>0</v>
      </c>
      <c r="W62" s="360" t="n">
        <f aca="false">W17*($K62+$L62)-W85</f>
        <v>0</v>
      </c>
      <c r="X62" s="360" t="n">
        <f aca="false">X17*($K62+$L62)-X85</f>
        <v>0</v>
      </c>
      <c r="Y62" s="360" t="n">
        <f aca="false">Y17*($K62+$L62)-Y85</f>
        <v>0</v>
      </c>
    </row>
    <row r="63" customFormat="false" ht="12.75" hidden="false" customHeight="true" outlineLevel="0" collapsed="false">
      <c r="A63" s="294" t="s">
        <v>343</v>
      </c>
      <c r="B63" s="294" t="s">
        <v>344</v>
      </c>
      <c r="C63" s="294" t="s">
        <v>6</v>
      </c>
      <c r="D63" s="294" t="s">
        <v>332</v>
      </c>
      <c r="E63" s="359" t="n">
        <v>26758</v>
      </c>
      <c r="F63" s="294" t="s">
        <v>357</v>
      </c>
      <c r="G63" s="375" t="n">
        <v>36647</v>
      </c>
      <c r="H63" s="378" t="n">
        <v>38472</v>
      </c>
      <c r="K63" s="357" t="n">
        <v>0.0866</v>
      </c>
      <c r="L63" s="294" t="n">
        <v>0.0246</v>
      </c>
      <c r="M63" s="361" t="s">
        <v>346</v>
      </c>
      <c r="N63" s="360" t="n">
        <f aca="false">N18*($K63+$L63)-N86</f>
        <v>118975.52</v>
      </c>
      <c r="O63" s="360" t="n">
        <f aca="false">O18*($K63+$L63)-O86</f>
        <v>108288.32</v>
      </c>
      <c r="P63" s="360" t="n">
        <f aca="false">P18*($K63+$L63)-P86</f>
        <v>122025.92</v>
      </c>
      <c r="Q63" s="360" t="n">
        <f aca="false">Q18*($K63+$L63)-Q86</f>
        <v>113071.2</v>
      </c>
      <c r="R63" s="360" t="n">
        <f aca="false">R18*($K63+$L63)-R86</f>
        <v>112569.68</v>
      </c>
      <c r="S63" s="360" t="n">
        <f aca="false">S18*($K63+$L63)-S86</f>
        <v>111300</v>
      </c>
      <c r="T63" s="360" t="n">
        <f aca="false">T18*($K63+$L63)-T86</f>
        <v>124008.68</v>
      </c>
      <c r="U63" s="360" t="n">
        <f aca="false">U18*($K63+$L63)-U86</f>
        <v>115010</v>
      </c>
      <c r="V63" s="360" t="n">
        <f aca="false">V18*($K63+$L63)-V86</f>
        <v>110030.64</v>
      </c>
      <c r="W63" s="360" t="n">
        <f aca="false">W18*($K63+$L63)-W86</f>
        <v>112783.208</v>
      </c>
      <c r="X63" s="360" t="n">
        <f aca="false">X18*($K63+$L63)-X86</f>
        <v>106576.8</v>
      </c>
      <c r="Y63" s="360" t="n">
        <f aca="false">Y18*($K63+$L63)-Y86</f>
        <v>113484.8</v>
      </c>
    </row>
    <row r="64" customFormat="false" ht="12.75" hidden="false" customHeight="true" outlineLevel="0" collapsed="false">
      <c r="A64" s="370" t="s">
        <v>343</v>
      </c>
      <c r="B64" s="370" t="s">
        <v>344</v>
      </c>
      <c r="C64" s="370" t="s">
        <v>6</v>
      </c>
      <c r="D64" s="370" t="s">
        <v>332</v>
      </c>
      <c r="E64" s="379" t="n">
        <v>26490</v>
      </c>
      <c r="F64" s="380" t="s">
        <v>350</v>
      </c>
      <c r="G64" s="380" t="s">
        <v>358</v>
      </c>
      <c r="H64" s="376" t="n">
        <v>37925</v>
      </c>
      <c r="K64" s="413" t="n">
        <v>0.1254</v>
      </c>
      <c r="L64" s="370" t="n">
        <v>0.0246</v>
      </c>
      <c r="M64" s="382" t="s">
        <v>346</v>
      </c>
      <c r="X64" s="360" t="n">
        <f aca="false">X12*($K64+$L64)-X87</f>
        <v>283487.4</v>
      </c>
      <c r="Y64" s="360" t="n">
        <f aca="false">Y12*($K64+$L64)-Y87</f>
        <v>298809</v>
      </c>
      <c r="AC64" s="417" t="n">
        <f aca="false">SUM(N64:Y64)</f>
        <v>582296.4</v>
      </c>
    </row>
    <row r="65" customFormat="false" ht="12.75" hidden="false" customHeight="true" outlineLevel="0" collapsed="false">
      <c r="A65" s="370" t="s">
        <v>343</v>
      </c>
      <c r="B65" s="370" t="s">
        <v>344</v>
      </c>
      <c r="C65" s="370" t="s">
        <v>6</v>
      </c>
      <c r="D65" s="370" t="s">
        <v>332</v>
      </c>
      <c r="E65" s="379" t="n">
        <v>26683</v>
      </c>
      <c r="F65" s="380" t="s">
        <v>356</v>
      </c>
      <c r="G65" s="380" t="s">
        <v>358</v>
      </c>
      <c r="H65" s="376" t="n">
        <v>37346</v>
      </c>
      <c r="I65" s="381"/>
      <c r="K65" s="413" t="n">
        <v>0.1254</v>
      </c>
      <c r="L65" s="370" t="n">
        <v>0.0246</v>
      </c>
      <c r="M65" s="382" t="s">
        <v>346</v>
      </c>
      <c r="Q65" s="373" t="n">
        <f aca="false">Q19*($K65+$L65)-Q88</f>
        <v>31926.24</v>
      </c>
      <c r="R65" s="373" t="n">
        <f aca="false">R19*($K65+$L65)-R88</f>
        <v>33966.576</v>
      </c>
      <c r="S65" s="373" t="n">
        <f aca="false">S19*($K65+$L65)-S88</f>
        <v>33343.2</v>
      </c>
      <c r="T65" s="373" t="n">
        <f aca="false">T19*($K65+$L65)-T88</f>
        <v>34454.64</v>
      </c>
      <c r="U65" s="373" t="n">
        <f aca="false">U19*($K65+$L65)-U88</f>
        <v>34454.64</v>
      </c>
      <c r="V65" s="373" t="n">
        <f aca="false">V19*($K65+$L65)-V88</f>
        <v>33089.328</v>
      </c>
      <c r="W65" s="373" t="n">
        <f aca="false">W19*($K65+$L65)-W88</f>
        <v>34009.2816</v>
      </c>
      <c r="X65" s="373" t="n">
        <f aca="false">X19*($K65+$L65)-X88</f>
        <v>32398.56</v>
      </c>
      <c r="Y65" s="373" t="n">
        <f aca="false">Y19*($K65+$L65)-Y88</f>
        <v>34149.6</v>
      </c>
      <c r="AC65" s="417" t="n">
        <f aca="false">SUM(N65:Y65)</f>
        <v>301792.0656</v>
      </c>
    </row>
    <row r="66" customFormat="false" ht="12.75" hidden="false" customHeight="true" outlineLevel="0" collapsed="false">
      <c r="A66" s="383" t="s">
        <v>343</v>
      </c>
      <c r="B66" s="383" t="s">
        <v>344</v>
      </c>
      <c r="C66" s="383" t="s">
        <v>6</v>
      </c>
      <c r="D66" s="383" t="s">
        <v>332</v>
      </c>
      <c r="E66" s="414"/>
      <c r="F66" s="383" t="s">
        <v>356</v>
      </c>
      <c r="G66" s="370"/>
      <c r="K66" s="385" t="n">
        <v>0.2054</v>
      </c>
      <c r="L66" s="383" t="n">
        <v>0.0246</v>
      </c>
      <c r="M66" s="386" t="s">
        <v>346</v>
      </c>
      <c r="Q66" s="310" t="n">
        <f aca="false">Q20*($K66+$L66)-Q89</f>
        <v>89470.92</v>
      </c>
      <c r="R66" s="310" t="n">
        <f aca="false">R20*($K66+$L66)-R89</f>
        <v>94161.508</v>
      </c>
      <c r="S66" s="310" t="n">
        <f aca="false">S20*($K66+$L66)-S89</f>
        <v>91950.6</v>
      </c>
      <c r="T66" s="310" t="n">
        <f aca="false">T20*($K66+$L66)-T89</f>
        <v>95015.62</v>
      </c>
      <c r="U66" s="310" t="n">
        <f aca="false">U20*($K66+$L66)-U89</f>
        <v>95015.62</v>
      </c>
      <c r="V66" s="310" t="n">
        <f aca="false">V20*($K66+$L66)-V89</f>
        <v>91506.324</v>
      </c>
      <c r="W66" s="310" t="n">
        <f aca="false">W20*($K66+$L66)-W89</f>
        <v>94236.2428</v>
      </c>
      <c r="X66" s="373"/>
      <c r="Y66" s="373"/>
    </row>
    <row r="67" customFormat="false" ht="12.75" hidden="false" customHeight="true" outlineLevel="0" collapsed="false">
      <c r="A67" s="294" t="s">
        <v>343</v>
      </c>
      <c r="B67" s="294" t="s">
        <v>344</v>
      </c>
      <c r="C67" s="294" t="s">
        <v>6</v>
      </c>
      <c r="D67" s="294" t="s">
        <v>332</v>
      </c>
      <c r="E67" s="359" t="n">
        <v>26819</v>
      </c>
      <c r="F67" s="294" t="s">
        <v>359</v>
      </c>
      <c r="G67" s="375" t="n">
        <v>36647</v>
      </c>
      <c r="H67" s="378" t="n">
        <v>38472</v>
      </c>
      <c r="K67" s="357" t="n">
        <v>0.0954</v>
      </c>
      <c r="L67" s="294" t="n">
        <v>0.0246</v>
      </c>
      <c r="M67" s="361" t="s">
        <v>346</v>
      </c>
      <c r="N67" s="360" t="n">
        <f aca="false">N21*($K67+$L67)-N90</f>
        <v>32471.88</v>
      </c>
      <c r="O67" s="360" t="n">
        <f aca="false">O21*($K67+$L67)-O90</f>
        <v>29536.08</v>
      </c>
      <c r="P67" s="360" t="n">
        <f aca="false">P21*($K67+$L67)-P90</f>
        <v>33234.48</v>
      </c>
      <c r="Q67" s="360" t="n">
        <f aca="false">Q21*($K67+$L67)-Q90</f>
        <v>30907.8</v>
      </c>
      <c r="R67" s="360" t="n">
        <f aca="false">R21*($K67+$L67)-R90</f>
        <v>30870.42</v>
      </c>
      <c r="S67" s="360" t="n">
        <f aca="false">S21*($K67+$L67)-S90</f>
        <v>30465</v>
      </c>
      <c r="T67" s="360" t="n">
        <f aca="false">T21*($K67+$L67)-T90</f>
        <v>33768.3</v>
      </c>
      <c r="U67" s="360" t="n">
        <f aca="false">U21*($K67+$L67)-U90</f>
        <v>31480.5</v>
      </c>
      <c r="V67" s="360" t="n">
        <f aca="false">V21*($K67+$L67)-V90</f>
        <v>30147.66</v>
      </c>
      <c r="W67" s="360" t="n">
        <f aca="false">W21*($K67+$L67)-W90</f>
        <v>30923.802</v>
      </c>
      <c r="X67" s="360" t="n">
        <f aca="false">X21*($K67+$L67)-X90</f>
        <v>29284.2</v>
      </c>
      <c r="Y67" s="360" t="n">
        <f aca="false">Y21*($K67+$L67)-Y90</f>
        <v>31099.2</v>
      </c>
    </row>
    <row r="68" customFormat="false" ht="12.75" hidden="false" customHeight="true" outlineLevel="0" collapsed="false">
      <c r="A68" s="380" t="s">
        <v>343</v>
      </c>
      <c r="B68" s="380" t="s">
        <v>344</v>
      </c>
      <c r="C68" s="380" t="s">
        <v>6</v>
      </c>
      <c r="D68" s="380" t="s">
        <v>332</v>
      </c>
      <c r="E68" s="379" t="n">
        <v>27352</v>
      </c>
      <c r="F68" s="380" t="s">
        <v>347</v>
      </c>
      <c r="G68" s="387" t="n">
        <v>37196</v>
      </c>
      <c r="H68" s="376" t="n">
        <v>37560</v>
      </c>
      <c r="I68" s="381"/>
      <c r="K68" s="418" t="n">
        <v>0.2754</v>
      </c>
      <c r="L68" s="380" t="n">
        <v>0.0246</v>
      </c>
      <c r="M68" s="361" t="s">
        <v>346</v>
      </c>
      <c r="X68" s="381" t="n">
        <f aca="false">X22*($K68+$L68)-X91</f>
        <v>183821.13</v>
      </c>
      <c r="Y68" s="381" t="n">
        <f aca="false">Y22*($K68+$L68)-Y91</f>
        <v>191752.05</v>
      </c>
    </row>
    <row r="69" customFormat="false" ht="12.75" hidden="false" customHeight="true" outlineLevel="0" collapsed="false">
      <c r="A69" s="380" t="s">
        <v>343</v>
      </c>
      <c r="B69" s="380" t="s">
        <v>344</v>
      </c>
      <c r="C69" s="380" t="s">
        <v>6</v>
      </c>
      <c r="D69" s="380" t="s">
        <v>332</v>
      </c>
      <c r="E69" s="379" t="n">
        <v>27427</v>
      </c>
      <c r="F69" s="380" t="s">
        <v>360</v>
      </c>
      <c r="G69" s="387" t="n">
        <v>36951</v>
      </c>
      <c r="H69" s="376" t="n">
        <v>36981</v>
      </c>
      <c r="K69" s="418" t="n">
        <v>0.3453</v>
      </c>
      <c r="L69" s="380" t="n">
        <v>0.0316</v>
      </c>
      <c r="M69" s="388" t="s">
        <v>352</v>
      </c>
      <c r="P69" s="381" t="n">
        <f aca="false">P23*($K69+$L69)-P92</f>
        <v>111745.08</v>
      </c>
    </row>
    <row r="70" customFormat="false" ht="12.75" hidden="false" customHeight="true" outlineLevel="0" collapsed="false">
      <c r="A70" s="389" t="s">
        <v>343</v>
      </c>
      <c r="B70" s="389" t="s">
        <v>344</v>
      </c>
      <c r="C70" s="389" t="s">
        <v>6</v>
      </c>
      <c r="D70" s="389" t="s">
        <v>332</v>
      </c>
      <c r="E70" s="379"/>
      <c r="F70" s="389" t="s">
        <v>361</v>
      </c>
      <c r="G70" s="390" t="n">
        <v>37196</v>
      </c>
      <c r="H70" s="391" t="n">
        <v>37256</v>
      </c>
      <c r="K70" s="419" t="n">
        <v>0.1755</v>
      </c>
      <c r="L70" s="389" t="n">
        <v>0.0245</v>
      </c>
      <c r="M70" s="416" t="s">
        <v>346</v>
      </c>
      <c r="P70" s="381"/>
      <c r="X70" s="392" t="n">
        <f aca="false">X24*($K70+$L70)-X93</f>
        <v>105300</v>
      </c>
      <c r="Y70" s="392" t="n">
        <f aca="false">Y24*($K70+$L70)-Y93</f>
        <v>108810</v>
      </c>
    </row>
    <row r="71" customFormat="false" ht="12.75" hidden="false" customHeight="true" outlineLevel="0" collapsed="false">
      <c r="A71" s="380" t="s">
        <v>343</v>
      </c>
      <c r="B71" s="380" t="s">
        <v>344</v>
      </c>
      <c r="C71" s="380" t="s">
        <v>6</v>
      </c>
      <c r="D71" s="380" t="s">
        <v>332</v>
      </c>
      <c r="E71" s="379" t="n">
        <v>27581</v>
      </c>
      <c r="F71" s="383" t="s">
        <v>362</v>
      </c>
      <c r="G71" s="393" t="n">
        <v>37196</v>
      </c>
      <c r="H71" s="394" t="n">
        <v>37225</v>
      </c>
      <c r="K71" s="418" t="n">
        <v>0.0454</v>
      </c>
      <c r="L71" s="380" t="n">
        <v>0.0246</v>
      </c>
      <c r="M71" s="388"/>
      <c r="P71" s="381"/>
      <c r="X71" s="381" t="n">
        <f aca="false">X25*($K71+$L71)-X94</f>
        <v>45370.05</v>
      </c>
    </row>
    <row r="72" customFormat="false" ht="12.75" hidden="false" customHeight="true" outlineLevel="0" collapsed="false">
      <c r="A72" s="380" t="s">
        <v>343</v>
      </c>
      <c r="B72" s="380" t="s">
        <v>344</v>
      </c>
      <c r="C72" s="380" t="s">
        <v>6</v>
      </c>
      <c r="D72" s="380" t="s">
        <v>332</v>
      </c>
      <c r="E72" s="379" t="n">
        <v>27581</v>
      </c>
      <c r="F72" s="383" t="s">
        <v>362</v>
      </c>
      <c r="G72" s="393" t="n">
        <v>37226</v>
      </c>
      <c r="H72" s="394" t="n">
        <v>37256</v>
      </c>
      <c r="K72" s="418" t="n">
        <v>0.0454</v>
      </c>
      <c r="L72" s="380" t="n">
        <v>0.0246</v>
      </c>
      <c r="M72" s="388"/>
      <c r="N72" s="368"/>
      <c r="O72" s="368"/>
      <c r="P72" s="396"/>
      <c r="Q72" s="368"/>
      <c r="R72" s="368"/>
      <c r="S72" s="368"/>
      <c r="T72" s="368"/>
      <c r="U72" s="368"/>
      <c r="V72" s="368"/>
      <c r="W72" s="368"/>
      <c r="X72" s="368"/>
      <c r="Y72" s="396" t="n">
        <f aca="false">Y26*($K72+$L72)-Y95</f>
        <v>25041.8</v>
      </c>
    </row>
    <row r="74" customFormat="false" ht="12.75" hidden="false" customHeight="true" outlineLevel="0" collapsed="false">
      <c r="I74" s="360" t="n">
        <f aca="false">SUM(I54:I73)</f>
        <v>0</v>
      </c>
      <c r="N74" s="360" t="n">
        <f aca="false">SUM(N54:N72)</f>
        <v>4962993.236</v>
      </c>
      <c r="O74" s="360" t="n">
        <f aca="false">SUM(O54:O72)</f>
        <v>4623715.376</v>
      </c>
      <c r="P74" s="360" t="n">
        <f aca="false">SUM(P54:P72)</f>
        <v>5245682.236</v>
      </c>
      <c r="Q74" s="360" t="n">
        <f aca="false">SUM(Q54:Q72)</f>
        <v>4966607.16</v>
      </c>
      <c r="R74" s="360" t="n">
        <f aca="false">SUM(R54:R72)</f>
        <v>5149266.284</v>
      </c>
      <c r="S74" s="360" t="n">
        <f aca="false">SUM(S54:S72)</f>
        <v>4999555.8</v>
      </c>
      <c r="T74" s="360" t="n">
        <f aca="false">SUM(T54:T72)</f>
        <v>5182832.34</v>
      </c>
      <c r="U74" s="360" t="n">
        <f aca="false">SUM(U54:U72)</f>
        <v>5166207.66</v>
      </c>
      <c r="V74" s="360" t="n">
        <f aca="false">SUM(V54:V72)</f>
        <v>4990743.552</v>
      </c>
      <c r="W74" s="360" t="n">
        <f aca="false">SUM(W54:W72)</f>
        <v>5150748.6544</v>
      </c>
      <c r="X74" s="360" t="n">
        <f aca="false">SUM(X54:X72)</f>
        <v>4329038.04</v>
      </c>
      <c r="Y74" s="360" t="n">
        <f aca="false">SUM(Y54:Y72)</f>
        <v>4472486.25</v>
      </c>
      <c r="Z74" s="417" t="n">
        <f aca="false">SUM(N74:Y74)</f>
        <v>59239876.5884</v>
      </c>
    </row>
    <row r="76" customFormat="false" ht="12.75" hidden="false" customHeight="true" outlineLevel="0" collapsed="false">
      <c r="A76" s="294" t="s">
        <v>343</v>
      </c>
      <c r="B76" s="294" t="s">
        <v>344</v>
      </c>
      <c r="C76" s="294" t="s">
        <v>6</v>
      </c>
      <c r="D76" s="294" t="s">
        <v>329</v>
      </c>
      <c r="E76" s="369" t="n">
        <v>26751</v>
      </c>
      <c r="F76" s="370" t="s">
        <v>345</v>
      </c>
      <c r="G76" s="371" t="n">
        <v>36557</v>
      </c>
      <c r="H76" s="372" t="n">
        <v>36922</v>
      </c>
      <c r="K76" s="357" t="n">
        <v>0.1064</v>
      </c>
      <c r="L76" s="294" t="n">
        <v>0.0246</v>
      </c>
      <c r="M76" s="361" t="s">
        <v>346</v>
      </c>
      <c r="N76" s="360" t="n">
        <f aca="false">N31*$L76</f>
        <v>9456.24</v>
      </c>
      <c r="O76" s="360" t="n">
        <f aca="false">O31*$L76</f>
        <v>0</v>
      </c>
      <c r="P76" s="360" t="n">
        <f aca="false">P31*$L76</f>
        <v>0</v>
      </c>
      <c r="Q76" s="360" t="n">
        <f aca="false">Q31*$L76</f>
        <v>0</v>
      </c>
      <c r="R76" s="360" t="n">
        <f aca="false">R31*$L76</f>
        <v>0</v>
      </c>
      <c r="S76" s="360" t="n">
        <f aca="false">S31*$L76</f>
        <v>0</v>
      </c>
      <c r="T76" s="360" t="n">
        <f aca="false">T31*$L76</f>
        <v>0</v>
      </c>
      <c r="U76" s="360" t="n">
        <f aca="false">U31*$L76</f>
        <v>0</v>
      </c>
      <c r="V76" s="360" t="n">
        <f aca="false">V31*$L76</f>
        <v>0</v>
      </c>
      <c r="W76" s="360" t="n">
        <f aca="false">W31*$L76</f>
        <v>0</v>
      </c>
      <c r="X76" s="360" t="n">
        <f aca="false">X31*$L76</f>
        <v>0</v>
      </c>
      <c r="Y76" s="360" t="n">
        <f aca="false">Y31*$L76</f>
        <v>0</v>
      </c>
      <c r="AF76" s="417" t="n">
        <f aca="false">SUM(N76:Y76)</f>
        <v>9456.24</v>
      </c>
    </row>
    <row r="77" customFormat="false" ht="12.75" hidden="false" customHeight="true" outlineLevel="0" collapsed="false">
      <c r="A77" s="406"/>
      <c r="B77" s="406" t="s">
        <v>364</v>
      </c>
      <c r="C77" s="406" t="s">
        <v>6</v>
      </c>
      <c r="D77" s="406" t="s">
        <v>329</v>
      </c>
      <c r="E77" s="407"/>
      <c r="F77" s="406"/>
      <c r="G77" s="408"/>
      <c r="H77" s="409"/>
      <c r="I77" s="410"/>
      <c r="J77" s="406"/>
      <c r="K77" s="411"/>
      <c r="L77" s="406" t="n">
        <v>0.0246</v>
      </c>
      <c r="M77" s="412"/>
      <c r="N77" s="410"/>
      <c r="O77" s="410"/>
      <c r="P77" s="410"/>
      <c r="Q77" s="410" t="n">
        <f aca="false">Q32*$L77</f>
        <v>-68634</v>
      </c>
      <c r="R77" s="410" t="n">
        <f aca="false">R32*$L77</f>
        <v>-50676</v>
      </c>
      <c r="S77" s="410"/>
      <c r="T77" s="410"/>
      <c r="U77" s="410"/>
      <c r="V77" s="410" t="n">
        <f aca="false">V32*$L77</f>
        <v>-5904</v>
      </c>
      <c r="W77" s="410"/>
      <c r="X77" s="410"/>
      <c r="Y77" s="410"/>
      <c r="Z77" s="406"/>
      <c r="AA77" s="406"/>
      <c r="AB77" s="406"/>
      <c r="AC77" s="406"/>
      <c r="AD77" s="406"/>
      <c r="AE77" s="406"/>
      <c r="AF77" s="420"/>
      <c r="AG77" s="406"/>
      <c r="AH77" s="406"/>
      <c r="AI77" s="406"/>
      <c r="AJ77" s="406"/>
      <c r="AK77" s="406"/>
      <c r="AL77" s="406"/>
      <c r="AM77" s="406"/>
      <c r="AN77" s="406"/>
      <c r="AO77" s="406"/>
      <c r="AP77" s="406"/>
      <c r="AQ77" s="406"/>
      <c r="AR77" s="406"/>
      <c r="AS77" s="406"/>
      <c r="AT77" s="406"/>
      <c r="AU77" s="406"/>
      <c r="AV77" s="406"/>
      <c r="AW77" s="406"/>
      <c r="AX77" s="406"/>
      <c r="AY77" s="406"/>
      <c r="AZ77" s="406"/>
      <c r="BA77" s="406"/>
      <c r="BB77" s="406"/>
      <c r="BC77" s="406"/>
      <c r="BD77" s="406"/>
      <c r="BE77" s="406"/>
      <c r="BF77" s="406"/>
      <c r="BG77" s="406"/>
      <c r="BH77" s="406"/>
      <c r="BI77" s="406"/>
      <c r="BJ77" s="406"/>
      <c r="BK77" s="406"/>
      <c r="BL77" s="406"/>
      <c r="BM77" s="406"/>
      <c r="BN77" s="406"/>
      <c r="BO77" s="406"/>
      <c r="BP77" s="406"/>
      <c r="BQ77" s="406"/>
      <c r="BR77" s="406"/>
      <c r="BS77" s="406"/>
      <c r="BT77" s="406"/>
      <c r="BU77" s="406"/>
      <c r="BV77" s="406"/>
      <c r="BW77" s="406"/>
      <c r="BX77" s="406"/>
      <c r="BY77" s="406"/>
      <c r="BZ77" s="406"/>
      <c r="CA77" s="406"/>
      <c r="CB77" s="406"/>
      <c r="CC77" s="406"/>
      <c r="CD77" s="406"/>
      <c r="CE77" s="406"/>
      <c r="CF77" s="406"/>
      <c r="CG77" s="406"/>
      <c r="CH77" s="406"/>
      <c r="CI77" s="406"/>
      <c r="CJ77" s="406"/>
      <c r="CK77" s="406"/>
      <c r="CL77" s="406"/>
      <c r="CM77" s="406"/>
      <c r="CN77" s="406"/>
      <c r="CO77" s="406"/>
      <c r="CP77" s="406"/>
      <c r="CQ77" s="406"/>
      <c r="CR77" s="406"/>
      <c r="CS77" s="406"/>
      <c r="CT77" s="406"/>
      <c r="CU77" s="406"/>
      <c r="CV77" s="406"/>
      <c r="CW77" s="406"/>
      <c r="CX77" s="406"/>
      <c r="CY77" s="406"/>
      <c r="CZ77" s="406"/>
      <c r="DA77" s="406"/>
      <c r="DB77" s="406"/>
      <c r="DC77" s="406"/>
      <c r="DD77" s="406"/>
      <c r="DE77" s="406"/>
      <c r="DF77" s="406"/>
      <c r="DG77" s="406"/>
      <c r="DH77" s="406"/>
      <c r="DI77" s="406"/>
      <c r="DJ77" s="406"/>
      <c r="DK77" s="406"/>
      <c r="DL77" s="406"/>
      <c r="DM77" s="406"/>
      <c r="DN77" s="406"/>
      <c r="DO77" s="406"/>
      <c r="DP77" s="406"/>
      <c r="DQ77" s="406"/>
      <c r="DR77" s="406"/>
      <c r="DS77" s="406"/>
      <c r="DT77" s="406"/>
      <c r="DU77" s="406"/>
      <c r="DV77" s="406"/>
      <c r="DW77" s="406"/>
      <c r="DX77" s="406"/>
      <c r="DY77" s="406"/>
      <c r="DZ77" s="406"/>
      <c r="EA77" s="406"/>
      <c r="EB77" s="406"/>
      <c r="EC77" s="406"/>
      <c r="ED77" s="406"/>
      <c r="EE77" s="406"/>
      <c r="EF77" s="406"/>
      <c r="EG77" s="406"/>
      <c r="EH77" s="406"/>
      <c r="EI77" s="406"/>
      <c r="EJ77" s="406"/>
      <c r="EK77" s="406"/>
      <c r="EL77" s="406"/>
      <c r="EM77" s="406"/>
      <c r="EN77" s="406"/>
      <c r="EO77" s="406"/>
      <c r="EP77" s="406"/>
      <c r="EQ77" s="406"/>
      <c r="ER77" s="406"/>
      <c r="ES77" s="406"/>
      <c r="ET77" s="406"/>
      <c r="EU77" s="406"/>
      <c r="EV77" s="406"/>
      <c r="EW77" s="406"/>
      <c r="EX77" s="406"/>
      <c r="EY77" s="406"/>
      <c r="EZ77" s="406"/>
      <c r="FA77" s="406"/>
      <c r="FB77" s="406"/>
      <c r="FC77" s="406"/>
      <c r="FD77" s="406"/>
      <c r="FE77" s="406"/>
      <c r="FF77" s="406"/>
      <c r="FG77" s="406"/>
      <c r="FH77" s="406"/>
      <c r="FI77" s="406"/>
      <c r="FJ77" s="406"/>
      <c r="FK77" s="406"/>
      <c r="FL77" s="406"/>
      <c r="FM77" s="406"/>
      <c r="FN77" s="406"/>
      <c r="FO77" s="406"/>
      <c r="FP77" s="406"/>
      <c r="FQ77" s="406"/>
      <c r="FR77" s="406"/>
      <c r="FS77" s="406"/>
      <c r="FT77" s="406"/>
      <c r="FU77" s="406"/>
      <c r="FV77" s="406"/>
      <c r="FW77" s="406"/>
      <c r="FX77" s="406"/>
      <c r="FY77" s="406"/>
      <c r="FZ77" s="406"/>
      <c r="GA77" s="406"/>
      <c r="GB77" s="406"/>
      <c r="GC77" s="406"/>
      <c r="GD77" s="406"/>
      <c r="GE77" s="406"/>
      <c r="GF77" s="406"/>
      <c r="GG77" s="406"/>
      <c r="GH77" s="406"/>
      <c r="GI77" s="406"/>
      <c r="GJ77" s="406"/>
      <c r="GK77" s="406"/>
      <c r="GL77" s="406"/>
      <c r="GM77" s="406"/>
      <c r="GN77" s="406"/>
      <c r="GO77" s="406"/>
      <c r="GP77" s="406"/>
      <c r="GQ77" s="406"/>
      <c r="GR77" s="406"/>
      <c r="GS77" s="406"/>
      <c r="GT77" s="406"/>
      <c r="GU77" s="406"/>
      <c r="GV77" s="406"/>
      <c r="GW77" s="406"/>
      <c r="GX77" s="406"/>
      <c r="GY77" s="406"/>
      <c r="GZ77" s="406"/>
      <c r="HA77" s="406"/>
      <c r="HB77" s="406"/>
      <c r="HC77" s="406"/>
      <c r="HD77" s="406"/>
      <c r="HE77" s="406"/>
      <c r="HF77" s="406"/>
      <c r="HG77" s="406"/>
      <c r="HH77" s="406"/>
      <c r="HI77" s="406"/>
      <c r="HJ77" s="406"/>
      <c r="HK77" s="406"/>
      <c r="HL77" s="406"/>
      <c r="HM77" s="406"/>
      <c r="HN77" s="406"/>
      <c r="HO77" s="406"/>
      <c r="HP77" s="406"/>
      <c r="HQ77" s="406"/>
      <c r="HR77" s="406"/>
      <c r="HS77" s="406"/>
      <c r="HT77" s="406"/>
      <c r="HU77" s="406"/>
      <c r="HV77" s="406"/>
      <c r="HW77" s="406"/>
      <c r="HX77" s="406"/>
      <c r="HY77" s="406"/>
      <c r="HZ77" s="406"/>
      <c r="IA77" s="406"/>
      <c r="IB77" s="406"/>
      <c r="IC77" s="406"/>
      <c r="ID77" s="406"/>
      <c r="IE77" s="406"/>
      <c r="IF77" s="406"/>
      <c r="IG77" s="406"/>
      <c r="IH77" s="406"/>
      <c r="II77" s="406"/>
      <c r="IJ77" s="406"/>
      <c r="IK77" s="406"/>
      <c r="IL77" s="406"/>
      <c r="IM77" s="406"/>
      <c r="IN77" s="406"/>
      <c r="IO77" s="406"/>
      <c r="IP77" s="406"/>
      <c r="IQ77" s="406"/>
      <c r="IR77" s="406"/>
      <c r="IS77" s="406"/>
      <c r="IT77" s="406"/>
      <c r="IU77" s="406"/>
      <c r="IV77" s="406"/>
      <c r="IW77" s="406"/>
    </row>
    <row r="78" customFormat="false" ht="12.75" hidden="false" customHeight="true" outlineLevel="0" collapsed="false">
      <c r="A78" s="294" t="s">
        <v>343</v>
      </c>
      <c r="B78" s="294" t="s">
        <v>344</v>
      </c>
      <c r="C78" s="294" t="s">
        <v>6</v>
      </c>
      <c r="D78" s="294" t="s">
        <v>329</v>
      </c>
      <c r="E78" s="374" t="n">
        <v>27293</v>
      </c>
      <c r="F78" s="294" t="s">
        <v>347</v>
      </c>
      <c r="G78" s="375" t="n">
        <v>36831</v>
      </c>
      <c r="H78" s="376" t="n">
        <v>37195</v>
      </c>
      <c r="K78" s="357" t="n">
        <v>0.2554</v>
      </c>
      <c r="L78" s="294" t="n">
        <v>0.0246</v>
      </c>
      <c r="M78" s="361" t="s">
        <v>346</v>
      </c>
      <c r="N78" s="360" t="n">
        <f aca="false">N33*$L78</f>
        <v>23167.788</v>
      </c>
      <c r="O78" s="360" t="n">
        <f aca="false">O33*$L78</f>
        <v>19913.208</v>
      </c>
      <c r="P78" s="360" t="n">
        <f aca="false">P33*$L78</f>
        <v>19431.048</v>
      </c>
      <c r="Q78" s="360" t="n">
        <f aca="false">Q33*$L78</f>
        <v>24951.78</v>
      </c>
      <c r="R78" s="360" t="n">
        <f aca="false">R33*$L78</f>
        <v>19804.722</v>
      </c>
      <c r="S78" s="360" t="n">
        <f aca="false">S33*$L78</f>
        <v>16272.9</v>
      </c>
      <c r="T78" s="360" t="n">
        <f aca="false">T33*$L78</f>
        <v>16815.33</v>
      </c>
      <c r="U78" s="360" t="n">
        <f aca="false">U33*$L78</f>
        <v>16815.33</v>
      </c>
      <c r="V78" s="360" t="n">
        <f aca="false">V33*$L78</f>
        <v>17827.866</v>
      </c>
      <c r="W78" s="360" t="n">
        <f aca="false">W33*$L78</f>
        <v>19543.1502</v>
      </c>
      <c r="X78" s="360" t="n">
        <f aca="false">X33*$L78</f>
        <v>0</v>
      </c>
      <c r="Y78" s="360" t="n">
        <f aca="false">Y33*$L78</f>
        <v>0</v>
      </c>
      <c r="AF78" s="417" t="n">
        <f aca="false">SUM(N78:Y78)</f>
        <v>194543.1222</v>
      </c>
    </row>
    <row r="79" customFormat="false" ht="12.75" hidden="false" customHeight="true" outlineLevel="0" collapsed="false">
      <c r="A79" s="294" t="s">
        <v>343</v>
      </c>
      <c r="B79" s="294" t="s">
        <v>344</v>
      </c>
      <c r="C79" s="294" t="s">
        <v>6</v>
      </c>
      <c r="D79" s="294" t="s">
        <v>329</v>
      </c>
      <c r="E79" s="374" t="n">
        <v>27252</v>
      </c>
      <c r="F79" s="294" t="s">
        <v>348</v>
      </c>
      <c r="G79" s="377" t="n">
        <v>36831</v>
      </c>
      <c r="H79" s="378" t="n">
        <v>40482</v>
      </c>
      <c r="K79" s="357" t="n">
        <v>0.1254</v>
      </c>
      <c r="L79" s="294" t="n">
        <v>0.0246</v>
      </c>
      <c r="M79" s="361" t="s">
        <v>346</v>
      </c>
      <c r="N79" s="360" t="n">
        <f aca="false">N34*$L79</f>
        <v>6619.368</v>
      </c>
      <c r="O79" s="360" t="n">
        <f aca="false">O34*$L79</f>
        <v>5689.488</v>
      </c>
      <c r="P79" s="360" t="n">
        <f aca="false">P34*$L79</f>
        <v>5551.728</v>
      </c>
      <c r="X79" s="360" t="n">
        <f aca="false">X34*$L79</f>
        <v>6302.52</v>
      </c>
      <c r="Y79" s="360" t="n">
        <f aca="false">Y34*$L79</f>
        <v>5338.2</v>
      </c>
      <c r="AF79" s="417" t="n">
        <f aca="false">SUM(N79:Y79)</f>
        <v>29501.304</v>
      </c>
    </row>
    <row r="80" customFormat="false" ht="12.75" hidden="false" customHeight="true" outlineLevel="0" collapsed="false">
      <c r="A80" s="294" t="s">
        <v>343</v>
      </c>
      <c r="B80" s="294" t="s">
        <v>344</v>
      </c>
      <c r="C80" s="294" t="s">
        <v>6</v>
      </c>
      <c r="D80" s="294" t="s">
        <v>329</v>
      </c>
      <c r="E80" s="374" t="n">
        <v>26490</v>
      </c>
      <c r="F80" s="294" t="s">
        <v>350</v>
      </c>
      <c r="G80" s="375" t="n">
        <v>36100</v>
      </c>
      <c r="H80" s="376" t="n">
        <v>37925</v>
      </c>
      <c r="K80" s="357" t="n">
        <v>0.1154</v>
      </c>
      <c r="L80" s="294" t="n">
        <v>0.0246</v>
      </c>
      <c r="M80" s="361" t="s">
        <v>346</v>
      </c>
      <c r="N80" s="360" t="n">
        <f aca="false">N35*$L80</f>
        <v>33096.84</v>
      </c>
      <c r="O80" s="360" t="n">
        <f aca="false">O35*$L80</f>
        <v>28447.44</v>
      </c>
      <c r="P80" s="360" t="n">
        <f aca="false">P35*$L80</f>
        <v>27758.64</v>
      </c>
      <c r="Q80" s="360" t="n">
        <f aca="false">Q35*$L80</f>
        <v>35645.4</v>
      </c>
      <c r="R80" s="360" t="n">
        <f aca="false">R35*$L80</f>
        <v>28292.46</v>
      </c>
      <c r="S80" s="360" t="n">
        <f aca="false">S35*$L80</f>
        <v>23247</v>
      </c>
      <c r="T80" s="360" t="n">
        <f aca="false">T35*$L80</f>
        <v>24021.9</v>
      </c>
      <c r="U80" s="360" t="n">
        <f aca="false">U35*$L80</f>
        <v>24021.9</v>
      </c>
      <c r="V80" s="360" t="n">
        <f aca="false">V35*$L80</f>
        <v>25468.38</v>
      </c>
      <c r="W80" s="360" t="n">
        <f aca="false">W35*$L80</f>
        <v>27918.786</v>
      </c>
      <c r="X80" s="360" t="n">
        <v>0</v>
      </c>
      <c r="Y80" s="360" t="n">
        <v>0</v>
      </c>
      <c r="AF80" s="417" t="n">
        <f aca="false">SUM(N80:Y80)</f>
        <v>277918.746</v>
      </c>
    </row>
    <row r="81" customFormat="false" ht="12.75" hidden="false" customHeight="true" outlineLevel="0" collapsed="false">
      <c r="A81" s="294" t="s">
        <v>343</v>
      </c>
      <c r="B81" s="294" t="s">
        <v>344</v>
      </c>
      <c r="C81" s="294" t="s">
        <v>6</v>
      </c>
      <c r="D81" s="294" t="s">
        <v>329</v>
      </c>
      <c r="E81" s="359" t="n">
        <v>8255</v>
      </c>
      <c r="F81" s="294" t="s">
        <v>351</v>
      </c>
      <c r="H81" s="378" t="n">
        <v>38656</v>
      </c>
      <c r="K81" s="357" t="n">
        <f aca="false">0.3232+0.0686+0.003+0.0051+0.0007</f>
        <v>0.4006</v>
      </c>
      <c r="L81" s="294" t="n">
        <v>0.0343</v>
      </c>
      <c r="M81" s="361" t="s">
        <v>352</v>
      </c>
      <c r="N81" s="360" t="n">
        <f aca="false">N36*$L81</f>
        <v>236818.176</v>
      </c>
      <c r="O81" s="360" t="n">
        <f aca="false">O36*$L81</f>
        <v>205083.816</v>
      </c>
      <c r="P81" s="360" t="n">
        <f aca="false">P36*$L81</f>
        <v>204281.196</v>
      </c>
      <c r="Q81" s="360" t="n">
        <f aca="false">Q36*$L81</f>
        <v>251220.06</v>
      </c>
      <c r="R81" s="360" t="n">
        <f aca="false">R36*$L81</f>
        <v>207534.894</v>
      </c>
      <c r="S81" s="360" t="n">
        <f aca="false">S36*$L81</f>
        <v>175650.3</v>
      </c>
      <c r="T81" s="360" t="n">
        <f aca="false">T36*$L81</f>
        <v>181505.31</v>
      </c>
      <c r="U81" s="360" t="n">
        <f aca="false">U36*$L81</f>
        <v>181505.31</v>
      </c>
      <c r="V81" s="360" t="n">
        <f aca="false">V36*$L81</f>
        <v>189189.882</v>
      </c>
      <c r="W81" s="360" t="n">
        <f aca="false">W36*$L81</f>
        <v>205257.3054</v>
      </c>
      <c r="X81" s="360" t="n">
        <f aca="false">X36*$L81</f>
        <v>226030.14</v>
      </c>
      <c r="Y81" s="360" t="n">
        <f aca="false">Y36*$L81</f>
        <v>197773.8</v>
      </c>
      <c r="AF81" s="417"/>
    </row>
    <row r="82" customFormat="false" ht="12.75" hidden="false" customHeight="true" outlineLevel="0" collapsed="false">
      <c r="A82" s="294" t="s">
        <v>343</v>
      </c>
      <c r="B82" s="294" t="s">
        <v>344</v>
      </c>
      <c r="C82" s="294" t="s">
        <v>6</v>
      </c>
      <c r="D82" s="294" t="s">
        <v>329</v>
      </c>
      <c r="E82" s="359" t="n">
        <v>25841</v>
      </c>
      <c r="F82" s="294" t="s">
        <v>353</v>
      </c>
      <c r="G82" s="375" t="n">
        <v>36557</v>
      </c>
      <c r="H82" s="378" t="n">
        <v>37560</v>
      </c>
      <c r="K82" s="357" t="n">
        <v>0.0829</v>
      </c>
      <c r="L82" s="294" t="n">
        <v>0.0246</v>
      </c>
      <c r="M82" s="361" t="s">
        <v>346</v>
      </c>
      <c r="N82" s="360" t="n">
        <f aca="false">N37*$L82</f>
        <v>18912.48</v>
      </c>
      <c r="O82" s="360" t="n">
        <f aca="false">O37*$L82</f>
        <v>16255.68</v>
      </c>
      <c r="P82" s="360" t="n">
        <f aca="false">P37*$L82</f>
        <v>15862.08</v>
      </c>
      <c r="Q82" s="360" t="n">
        <f aca="false">Q37*$L82</f>
        <v>20368.8</v>
      </c>
      <c r="R82" s="360" t="n">
        <f aca="false">R37*$L82</f>
        <v>16167.12</v>
      </c>
      <c r="S82" s="360" t="n">
        <f aca="false">S37*$L82</f>
        <v>13284</v>
      </c>
      <c r="T82" s="360" t="n">
        <f aca="false">T37*$L82</f>
        <v>13726.8</v>
      </c>
      <c r="U82" s="360" t="n">
        <f aca="false">U37*$L82</f>
        <v>13726.8</v>
      </c>
      <c r="V82" s="360" t="n">
        <f aca="false">V37*$L82</f>
        <v>14553.36</v>
      </c>
      <c r="W82" s="360" t="n">
        <f aca="false">W37*$L82</f>
        <v>15953.592</v>
      </c>
      <c r="X82" s="360" t="n">
        <f aca="false">X37*$L82</f>
        <v>18007.2</v>
      </c>
      <c r="Y82" s="360" t="n">
        <f aca="false">Y37*$L82</f>
        <v>15252</v>
      </c>
      <c r="AF82" s="417" t="n">
        <f aca="false">SUM(N82:Y82)</f>
        <v>192069.912</v>
      </c>
    </row>
    <row r="83" customFormat="false" ht="12.75" hidden="false" customHeight="true" outlineLevel="0" collapsed="false">
      <c r="A83" s="370" t="s">
        <v>343</v>
      </c>
      <c r="B83" s="370" t="s">
        <v>344</v>
      </c>
      <c r="C83" s="370" t="s">
        <v>6</v>
      </c>
      <c r="D83" s="370" t="s">
        <v>329</v>
      </c>
      <c r="E83" s="379" t="n">
        <v>27340</v>
      </c>
      <c r="F83" s="380" t="s">
        <v>354</v>
      </c>
      <c r="G83" s="379" t="s">
        <v>355</v>
      </c>
      <c r="H83" s="376" t="n">
        <v>37287</v>
      </c>
      <c r="K83" s="418" t="n">
        <v>0.3453</v>
      </c>
      <c r="L83" s="380" t="n">
        <v>0.0316</v>
      </c>
      <c r="M83" s="382" t="s">
        <v>346</v>
      </c>
      <c r="O83" s="373" t="n">
        <f aca="false">O38*$L83</f>
        <v>10440.64</v>
      </c>
      <c r="P83" s="373" t="n">
        <f aca="false">P38*$L83</f>
        <v>10187.84</v>
      </c>
      <c r="Q83" s="373" t="n">
        <f aca="false">Q38*$L83</f>
        <v>13082.4</v>
      </c>
      <c r="R83" s="373" t="n">
        <f aca="false">R38*$L83</f>
        <v>10383.76</v>
      </c>
      <c r="S83" s="373" t="n">
        <f aca="false">S38*$L83</f>
        <v>8532</v>
      </c>
      <c r="T83" s="373" t="n">
        <f aca="false">T38*$L83</f>
        <v>8816.4</v>
      </c>
      <c r="U83" s="373" t="n">
        <f aca="false">U38*$L83</f>
        <v>8816.4</v>
      </c>
      <c r="V83" s="373" t="n">
        <f aca="false">V38*$L83</f>
        <v>9347.28</v>
      </c>
      <c r="W83" s="373" t="n">
        <f aca="false">W38*$L83</f>
        <v>10246.616</v>
      </c>
      <c r="X83" s="373" t="n">
        <f aca="false">X38*$L83</f>
        <v>11565.6</v>
      </c>
      <c r="Y83" s="373" t="n">
        <f aca="false">Y38*$L83</f>
        <v>9796</v>
      </c>
      <c r="AC83" s="417" t="n">
        <f aca="false">SUM(N83:Y83)</f>
        <v>111214.936</v>
      </c>
      <c r="AD83" s="417" t="n">
        <f aca="false">AC83</f>
        <v>111214.936</v>
      </c>
      <c r="AF83" s="417"/>
    </row>
    <row r="84" customFormat="false" ht="12.75" hidden="false" customHeight="true" outlineLevel="0" collapsed="false">
      <c r="A84" s="294" t="s">
        <v>343</v>
      </c>
      <c r="B84" s="294" t="s">
        <v>344</v>
      </c>
      <c r="C84" s="294" t="s">
        <v>6</v>
      </c>
      <c r="D84" s="294" t="s">
        <v>329</v>
      </c>
      <c r="E84" s="359" t="n">
        <v>26511</v>
      </c>
      <c r="F84" s="294" t="s">
        <v>353</v>
      </c>
      <c r="G84" s="375" t="n">
        <v>36465</v>
      </c>
      <c r="H84" s="378" t="n">
        <v>37560</v>
      </c>
      <c r="K84" s="357" t="n">
        <v>0.0829</v>
      </c>
      <c r="L84" s="294" t="n">
        <v>0.0246</v>
      </c>
      <c r="M84" s="361" t="s">
        <v>346</v>
      </c>
      <c r="N84" s="360" t="n">
        <f aca="false">N39*$L84</f>
        <v>9929.052</v>
      </c>
      <c r="O84" s="360" t="n">
        <f aca="false">O39*$L84</f>
        <v>8534.232</v>
      </c>
      <c r="P84" s="360" t="n">
        <f aca="false">P39*$L84</f>
        <v>8327.592</v>
      </c>
      <c r="Q84" s="360" t="n">
        <f aca="false">Q39*$L84</f>
        <v>10693.62</v>
      </c>
      <c r="R84" s="360" t="n">
        <f aca="false">R39*$L84</f>
        <v>13825.938</v>
      </c>
      <c r="S84" s="360" t="n">
        <f aca="false">S39*$L84</f>
        <v>12140.1</v>
      </c>
      <c r="T84" s="360" t="n">
        <f aca="false">T39*$L84</f>
        <v>7206.57</v>
      </c>
      <c r="U84" s="360" t="n">
        <f aca="false">U39*$L84</f>
        <v>12544.77</v>
      </c>
      <c r="V84" s="360" t="n">
        <f aca="false">V39*$L84</f>
        <v>12806.514</v>
      </c>
      <c r="W84" s="360" t="n">
        <f aca="false">W39*$L84</f>
        <v>13713.8358</v>
      </c>
      <c r="X84" s="360" t="n">
        <f aca="false">X39*$L84</f>
        <v>14619.78</v>
      </c>
      <c r="Y84" s="360" t="n">
        <f aca="false">Y39*$L84</f>
        <v>13345.5</v>
      </c>
      <c r="AD84" s="417" t="n">
        <f aca="false">AC84</f>
        <v>0</v>
      </c>
      <c r="AF84" s="417" t="n">
        <f aca="false">SUM(N84:Y84)</f>
        <v>137687.5038</v>
      </c>
    </row>
    <row r="85" customFormat="false" ht="12.75" hidden="false" customHeight="true" outlineLevel="0" collapsed="false">
      <c r="A85" s="294" t="s">
        <v>343</v>
      </c>
      <c r="B85" s="294" t="s">
        <v>344</v>
      </c>
      <c r="C85" s="294" t="s">
        <v>6</v>
      </c>
      <c r="D85" s="294" t="s">
        <v>329</v>
      </c>
      <c r="E85" s="359" t="n">
        <v>26683</v>
      </c>
      <c r="F85" s="294" t="s">
        <v>356</v>
      </c>
      <c r="G85" s="375" t="n">
        <v>36220</v>
      </c>
      <c r="H85" s="376" t="n">
        <v>37346</v>
      </c>
      <c r="K85" s="357" t="n">
        <v>0.1274</v>
      </c>
      <c r="L85" s="294" t="n">
        <v>0.0246</v>
      </c>
      <c r="M85" s="361" t="s">
        <v>346</v>
      </c>
      <c r="N85" s="360" t="n">
        <f aca="false">N40*$L85</f>
        <v>3782.496</v>
      </c>
      <c r="O85" s="360" t="n">
        <f aca="false">O40*$L85</f>
        <v>3251.136</v>
      </c>
      <c r="P85" s="360" t="n">
        <f aca="false">P40*$L85</f>
        <v>3172.416</v>
      </c>
      <c r="Q85" s="360" t="n">
        <f aca="false">Q40*$L85</f>
        <v>0</v>
      </c>
      <c r="R85" s="360" t="n">
        <f aca="false">R40*$L85</f>
        <v>0</v>
      </c>
      <c r="S85" s="360" t="n">
        <f aca="false">S40*$L85</f>
        <v>0</v>
      </c>
      <c r="T85" s="360" t="n">
        <f aca="false">T40*$L85</f>
        <v>0</v>
      </c>
      <c r="U85" s="360" t="n">
        <f aca="false">U40*$L85</f>
        <v>0</v>
      </c>
      <c r="V85" s="360" t="n">
        <f aca="false">V40*$L85</f>
        <v>0</v>
      </c>
      <c r="W85" s="360" t="n">
        <f aca="false">W40*$L85</f>
        <v>0</v>
      </c>
      <c r="X85" s="360" t="n">
        <f aca="false">X40*$L85</f>
        <v>0</v>
      </c>
      <c r="Y85" s="360" t="n">
        <f aca="false">Y40*$L85</f>
        <v>0</v>
      </c>
      <c r="AD85" s="417" t="n">
        <f aca="false">AC85</f>
        <v>0</v>
      </c>
      <c r="AF85" s="417" t="n">
        <f aca="false">SUM(N85:Y85)</f>
        <v>10206.048</v>
      </c>
    </row>
    <row r="86" customFormat="false" ht="12.75" hidden="false" customHeight="true" outlineLevel="0" collapsed="false">
      <c r="A86" s="294" t="s">
        <v>343</v>
      </c>
      <c r="B86" s="294" t="s">
        <v>344</v>
      </c>
      <c r="C86" s="294" t="s">
        <v>6</v>
      </c>
      <c r="D86" s="294" t="s">
        <v>329</v>
      </c>
      <c r="E86" s="359" t="n">
        <v>26758</v>
      </c>
      <c r="F86" s="294" t="s">
        <v>357</v>
      </c>
      <c r="G86" s="375" t="n">
        <v>36647</v>
      </c>
      <c r="H86" s="378" t="n">
        <v>38472</v>
      </c>
      <c r="K86" s="357" t="n">
        <v>0.0866</v>
      </c>
      <c r="L86" s="294" t="n">
        <v>0.0246</v>
      </c>
      <c r="M86" s="361" t="s">
        <v>346</v>
      </c>
      <c r="N86" s="360" t="n">
        <f aca="false">N41*$L86</f>
        <v>18912.48</v>
      </c>
      <c r="O86" s="360" t="n">
        <f aca="false">O41*$L86</f>
        <v>16255.68</v>
      </c>
      <c r="P86" s="360" t="n">
        <f aca="false">P41*$L86</f>
        <v>15862.08</v>
      </c>
      <c r="Q86" s="360" t="n">
        <f aca="false">Q41*$L86</f>
        <v>20368.8</v>
      </c>
      <c r="R86" s="360" t="n">
        <f aca="false">R41*$L86</f>
        <v>25318.32</v>
      </c>
      <c r="S86" s="360" t="n">
        <f aca="false">S41*$L86</f>
        <v>22140</v>
      </c>
      <c r="T86" s="360" t="n">
        <f aca="false">T41*$L86</f>
        <v>13879.32</v>
      </c>
      <c r="U86" s="360" t="n">
        <f aca="false">U41*$L86</f>
        <v>22878</v>
      </c>
      <c r="V86" s="360" t="n">
        <f aca="false">V41*$L86</f>
        <v>23409.36</v>
      </c>
      <c r="W86" s="360" t="n">
        <f aca="false">W41*$L86</f>
        <v>25104.792</v>
      </c>
      <c r="X86" s="360" t="n">
        <f aca="false">X41*$L86</f>
        <v>26863.2</v>
      </c>
      <c r="Y86" s="360" t="n">
        <f aca="false">Y41*$L86</f>
        <v>24403.2</v>
      </c>
      <c r="AD86" s="417" t="n">
        <f aca="false">AC86</f>
        <v>0</v>
      </c>
      <c r="AF86" s="417" t="n">
        <f aca="false">SUM(N86:Y86)</f>
        <v>255395.232</v>
      </c>
    </row>
    <row r="87" customFormat="false" ht="12.75" hidden="false" customHeight="true" outlineLevel="0" collapsed="false">
      <c r="A87" s="370" t="s">
        <v>343</v>
      </c>
      <c r="B87" s="370" t="s">
        <v>344</v>
      </c>
      <c r="C87" s="370" t="s">
        <v>6</v>
      </c>
      <c r="D87" s="370" t="s">
        <v>329</v>
      </c>
      <c r="E87" s="379" t="n">
        <v>26490</v>
      </c>
      <c r="F87" s="380" t="s">
        <v>350</v>
      </c>
      <c r="G87" s="380" t="s">
        <v>358</v>
      </c>
      <c r="H87" s="376" t="n">
        <v>37925</v>
      </c>
      <c r="K87" s="413" t="n">
        <v>0.1254</v>
      </c>
      <c r="L87" s="370" t="n">
        <v>0.0246</v>
      </c>
      <c r="M87" s="382" t="s">
        <v>346</v>
      </c>
      <c r="X87" s="360" t="n">
        <f aca="false">X35*$L87</f>
        <v>31512.6</v>
      </c>
      <c r="Y87" s="360" t="n">
        <f aca="false">Y35*$L87</f>
        <v>26691</v>
      </c>
      <c r="AC87" s="417" t="n">
        <f aca="false">SUM(N87:Y87)</f>
        <v>58203.6</v>
      </c>
      <c r="AD87" s="417" t="n">
        <f aca="false">AC87</f>
        <v>58203.6</v>
      </c>
      <c r="AF87" s="417"/>
    </row>
    <row r="88" customFormat="false" ht="12.75" hidden="false" customHeight="true" outlineLevel="0" collapsed="false">
      <c r="A88" s="370" t="s">
        <v>343</v>
      </c>
      <c r="B88" s="370" t="s">
        <v>344</v>
      </c>
      <c r="C88" s="370" t="s">
        <v>6</v>
      </c>
      <c r="D88" s="370" t="s">
        <v>329</v>
      </c>
      <c r="E88" s="379" t="n">
        <v>26683</v>
      </c>
      <c r="F88" s="380" t="s">
        <v>356</v>
      </c>
      <c r="G88" s="380" t="s">
        <v>358</v>
      </c>
      <c r="H88" s="376" t="n">
        <v>37346</v>
      </c>
      <c r="I88" s="381"/>
      <c r="K88" s="413" t="n">
        <v>0.1254</v>
      </c>
      <c r="L88" s="370" t="n">
        <v>0.0246</v>
      </c>
      <c r="M88" s="382" t="s">
        <v>346</v>
      </c>
      <c r="Q88" s="373" t="n">
        <f aca="false">Q42*$L88</f>
        <v>4073.76</v>
      </c>
      <c r="R88" s="373" t="n">
        <f aca="false">R42*$L88</f>
        <v>3233.424</v>
      </c>
      <c r="S88" s="373" t="n">
        <f aca="false">S42*$L88</f>
        <v>2656.8</v>
      </c>
      <c r="T88" s="373" t="n">
        <f aca="false">T42*$L88</f>
        <v>2745.36</v>
      </c>
      <c r="U88" s="373" t="n">
        <f aca="false">U42*$L88</f>
        <v>2745.36</v>
      </c>
      <c r="V88" s="373" t="n">
        <f aca="false">V42*$L88</f>
        <v>2910.672</v>
      </c>
      <c r="W88" s="373" t="n">
        <f aca="false">W42*$L88</f>
        <v>3190.7184</v>
      </c>
      <c r="X88" s="373" t="n">
        <f aca="false">X42*$L88</f>
        <v>3601.44</v>
      </c>
      <c r="Y88" s="373" t="n">
        <f aca="false">Y42*$L88</f>
        <v>3050.4</v>
      </c>
      <c r="AC88" s="417" t="n">
        <f aca="false">SUM(N88:Y88)</f>
        <v>28207.9344</v>
      </c>
      <c r="AD88" s="417" t="n">
        <f aca="false">AC88</f>
        <v>28207.9344</v>
      </c>
      <c r="AF88" s="417"/>
    </row>
    <row r="89" customFormat="false" ht="12.75" hidden="false" customHeight="true" outlineLevel="0" collapsed="false">
      <c r="A89" s="383" t="s">
        <v>343</v>
      </c>
      <c r="B89" s="383" t="s">
        <v>344</v>
      </c>
      <c r="C89" s="383" t="s">
        <v>6</v>
      </c>
      <c r="D89" s="383" t="s">
        <v>329</v>
      </c>
      <c r="E89" s="414"/>
      <c r="F89" s="383" t="s">
        <v>356</v>
      </c>
      <c r="G89" s="370"/>
      <c r="K89" s="385" t="n">
        <v>0.2054</v>
      </c>
      <c r="L89" s="383" t="n">
        <v>0.0246</v>
      </c>
      <c r="M89" s="386" t="s">
        <v>346</v>
      </c>
      <c r="Q89" s="310" t="n">
        <f aca="false">Q43*$L89</f>
        <v>7129.08</v>
      </c>
      <c r="R89" s="310" t="n">
        <f aca="false">R43*$L89</f>
        <v>5658.492</v>
      </c>
      <c r="S89" s="310" t="n">
        <f aca="false">S43*$L89</f>
        <v>4649.4</v>
      </c>
      <c r="T89" s="310" t="n">
        <f aca="false">T43*$L89</f>
        <v>4804.38</v>
      </c>
      <c r="U89" s="310" t="n">
        <f aca="false">U43*$L89</f>
        <v>4804.38</v>
      </c>
      <c r="V89" s="310" t="n">
        <f aca="false">V43*$L89</f>
        <v>5093.676</v>
      </c>
      <c r="W89" s="310" t="n">
        <f aca="false">W43*$L89</f>
        <v>5583.7572</v>
      </c>
      <c r="X89" s="373"/>
      <c r="Y89" s="373"/>
      <c r="AD89" s="417" t="n">
        <f aca="false">AC89</f>
        <v>0</v>
      </c>
      <c r="AF89" s="417"/>
    </row>
    <row r="90" customFormat="false" ht="12.75" hidden="false" customHeight="true" outlineLevel="0" collapsed="false">
      <c r="A90" s="294" t="s">
        <v>343</v>
      </c>
      <c r="B90" s="294" t="s">
        <v>344</v>
      </c>
      <c r="C90" s="294" t="s">
        <v>6</v>
      </c>
      <c r="D90" s="294" t="s">
        <v>329</v>
      </c>
      <c r="E90" s="359" t="n">
        <v>26819</v>
      </c>
      <c r="F90" s="294" t="s">
        <v>359</v>
      </c>
      <c r="G90" s="375" t="n">
        <v>36647</v>
      </c>
      <c r="H90" s="378" t="n">
        <v>38472</v>
      </c>
      <c r="K90" s="357" t="n">
        <v>0.0954</v>
      </c>
      <c r="L90" s="294" t="n">
        <v>0.0246</v>
      </c>
      <c r="M90" s="361" t="s">
        <v>346</v>
      </c>
      <c r="N90" s="360" t="n">
        <f aca="false">N44*$L90</f>
        <v>4728.12</v>
      </c>
      <c r="O90" s="360" t="n">
        <f aca="false">O44*$L90</f>
        <v>4063.92</v>
      </c>
      <c r="P90" s="360" t="n">
        <f aca="false">P44*$L90</f>
        <v>3965.52</v>
      </c>
      <c r="Q90" s="360" t="n">
        <f aca="false">Q44*$L90</f>
        <v>5092.2</v>
      </c>
      <c r="R90" s="360" t="n">
        <f aca="false">R44*$L90</f>
        <v>6329.58</v>
      </c>
      <c r="S90" s="360" t="n">
        <f aca="false">S44*$L90</f>
        <v>5535</v>
      </c>
      <c r="T90" s="360" t="n">
        <f aca="false">T44*$L90</f>
        <v>3431.7</v>
      </c>
      <c r="U90" s="360" t="n">
        <f aca="false">U44*$L90</f>
        <v>5719.5</v>
      </c>
      <c r="V90" s="360" t="n">
        <f aca="false">V44*$L90</f>
        <v>5852.34</v>
      </c>
      <c r="W90" s="360" t="n">
        <f aca="false">W44*$L90</f>
        <v>6276.198</v>
      </c>
      <c r="X90" s="360" t="n">
        <f aca="false">X44*$L90</f>
        <v>6715.8</v>
      </c>
      <c r="Y90" s="360" t="n">
        <f aca="false">Y44*$L90</f>
        <v>6100.8</v>
      </c>
      <c r="AF90" s="417" t="n">
        <f aca="false">SUM(N90:Y90)</f>
        <v>63810.678</v>
      </c>
    </row>
    <row r="91" customFormat="false" ht="12.75" hidden="false" customHeight="true" outlineLevel="0" collapsed="false">
      <c r="A91" s="380" t="s">
        <v>343</v>
      </c>
      <c r="B91" s="380" t="s">
        <v>344</v>
      </c>
      <c r="C91" s="380" t="s">
        <v>6</v>
      </c>
      <c r="D91" s="380" t="s">
        <v>329</v>
      </c>
      <c r="E91" s="379" t="n">
        <v>27352</v>
      </c>
      <c r="F91" s="380" t="s">
        <v>347</v>
      </c>
      <c r="G91" s="387" t="n">
        <v>37196</v>
      </c>
      <c r="H91" s="376" t="n">
        <v>37560</v>
      </c>
      <c r="I91" s="381"/>
      <c r="K91" s="418" t="n">
        <v>0.2754</v>
      </c>
      <c r="L91" s="380" t="n">
        <v>0.0246</v>
      </c>
      <c r="M91" s="361" t="s">
        <v>346</v>
      </c>
      <c r="X91" s="381" t="n">
        <f aca="false">X45*$L91</f>
        <v>9678.87</v>
      </c>
      <c r="Y91" s="381" t="n">
        <f aca="false">Y45*$L91</f>
        <v>8197.95</v>
      </c>
      <c r="AF91" s="417" t="n">
        <f aca="false">SUM(N91:Y91)</f>
        <v>17876.82</v>
      </c>
    </row>
    <row r="92" customFormat="false" ht="12.75" hidden="false" customHeight="true" outlineLevel="0" collapsed="false">
      <c r="A92" s="380" t="s">
        <v>343</v>
      </c>
      <c r="B92" s="380" t="s">
        <v>344</v>
      </c>
      <c r="C92" s="380" t="s">
        <v>6</v>
      </c>
      <c r="D92" s="380" t="s">
        <v>329</v>
      </c>
      <c r="E92" s="379" t="n">
        <v>27427</v>
      </c>
      <c r="F92" s="380" t="s">
        <v>360</v>
      </c>
      <c r="G92" s="387" t="n">
        <v>36951</v>
      </c>
      <c r="H92" s="376" t="n">
        <v>36981</v>
      </c>
      <c r="K92" s="418" t="n">
        <v>0.3453</v>
      </c>
      <c r="L92" s="380" t="n">
        <v>0.0316</v>
      </c>
      <c r="M92" s="388" t="s">
        <v>352</v>
      </c>
      <c r="P92" s="381" t="n">
        <f aca="false">P46*$L92</f>
        <v>5093.92</v>
      </c>
    </row>
    <row r="93" customFormat="false" ht="12.75" hidden="false" customHeight="true" outlineLevel="0" collapsed="false">
      <c r="A93" s="389" t="s">
        <v>343</v>
      </c>
      <c r="B93" s="389" t="s">
        <v>344</v>
      </c>
      <c r="C93" s="389" t="s">
        <v>6</v>
      </c>
      <c r="D93" s="389" t="s">
        <v>329</v>
      </c>
      <c r="E93" s="379"/>
      <c r="F93" s="389" t="s">
        <v>361</v>
      </c>
      <c r="G93" s="390" t="n">
        <v>37196</v>
      </c>
      <c r="H93" s="391" t="n">
        <v>37256</v>
      </c>
      <c r="K93" s="419" t="n">
        <v>0.1755</v>
      </c>
      <c r="L93" s="389" t="n">
        <v>0.0245</v>
      </c>
      <c r="M93" s="416" t="s">
        <v>346</v>
      </c>
      <c r="P93" s="381"/>
      <c r="X93" s="392" t="n">
        <f aca="false">X47*$L93</f>
        <v>14700</v>
      </c>
      <c r="Y93" s="392" t="n">
        <f aca="false">Y47*$L93</f>
        <v>15190</v>
      </c>
    </row>
    <row r="94" customFormat="false" ht="12.75" hidden="false" customHeight="true" outlineLevel="0" collapsed="false">
      <c r="A94" s="380" t="s">
        <v>343</v>
      </c>
      <c r="B94" s="380" t="s">
        <v>344</v>
      </c>
      <c r="C94" s="380" t="s">
        <v>6</v>
      </c>
      <c r="D94" s="380" t="s">
        <v>329</v>
      </c>
      <c r="E94" s="379" t="n">
        <v>27581</v>
      </c>
      <c r="F94" s="383" t="s">
        <v>366</v>
      </c>
      <c r="G94" s="393" t="n">
        <v>37196</v>
      </c>
      <c r="H94" s="394" t="n">
        <v>37225</v>
      </c>
      <c r="K94" s="418" t="n">
        <v>0.0454</v>
      </c>
      <c r="L94" s="380" t="n">
        <v>0.0246</v>
      </c>
      <c r="M94" s="388"/>
      <c r="P94" s="381"/>
      <c r="X94" s="381" t="n">
        <f aca="false">X48*$L94</f>
        <v>12379.95</v>
      </c>
    </row>
    <row r="95" customFormat="false" ht="12.75" hidden="false" customHeight="true" outlineLevel="0" collapsed="false">
      <c r="A95" s="380" t="s">
        <v>343</v>
      </c>
      <c r="B95" s="380" t="s">
        <v>344</v>
      </c>
      <c r="C95" s="380" t="s">
        <v>6</v>
      </c>
      <c r="D95" s="380" t="s">
        <v>329</v>
      </c>
      <c r="E95" s="379" t="n">
        <v>27581</v>
      </c>
      <c r="F95" s="383" t="s">
        <v>366</v>
      </c>
      <c r="G95" s="393" t="n">
        <v>37226</v>
      </c>
      <c r="H95" s="394" t="n">
        <v>37256</v>
      </c>
      <c r="K95" s="418" t="n">
        <v>0.0454</v>
      </c>
      <c r="L95" s="380" t="n">
        <v>0.0246</v>
      </c>
      <c r="M95" s="388"/>
      <c r="N95" s="368"/>
      <c r="O95" s="368"/>
      <c r="P95" s="396"/>
      <c r="Q95" s="368"/>
      <c r="R95" s="368"/>
      <c r="S95" s="368"/>
      <c r="T95" s="368"/>
      <c r="U95" s="368"/>
      <c r="V95" s="368"/>
      <c r="W95" s="368"/>
      <c r="X95" s="368"/>
      <c r="Y95" s="396" t="n">
        <f aca="false">Y49*$L95</f>
        <v>5338.2</v>
      </c>
    </row>
    <row r="97" customFormat="false" ht="12.75" hidden="false" customHeight="true" outlineLevel="0" collapsed="false">
      <c r="I97" s="360" t="n">
        <f aca="false">SUM(I76:I96)</f>
        <v>0</v>
      </c>
      <c r="N97" s="360" t="n">
        <f aca="false">SUM(N76:N95)</f>
        <v>365423.04</v>
      </c>
      <c r="O97" s="360" t="n">
        <f aca="false">SUM(O76:O95)</f>
        <v>317935.24</v>
      </c>
      <c r="P97" s="360" t="n">
        <f aca="false">SUM(P76:P95)</f>
        <v>319494.06</v>
      </c>
      <c r="Q97" s="360" t="n">
        <f aca="false">SUM(Q76:Q95)</f>
        <v>323991.9</v>
      </c>
      <c r="R97" s="360" t="n">
        <f aca="false">SUM(R76:R95)</f>
        <v>285872.71</v>
      </c>
      <c r="S97" s="360" t="n">
        <f aca="false">SUM(S76:S95)</f>
        <v>284107.5</v>
      </c>
      <c r="T97" s="360" t="n">
        <f aca="false">SUM(T76:T95)</f>
        <v>276953.07</v>
      </c>
      <c r="U97" s="360" t="n">
        <f aca="false">SUM(U76:U95)</f>
        <v>293577.75</v>
      </c>
      <c r="V97" s="360" t="n">
        <f aca="false">SUM(V76:V95)</f>
        <v>300555.33</v>
      </c>
      <c r="W97" s="360" t="n">
        <f aca="false">SUM(W76:W95)</f>
        <v>332788.751</v>
      </c>
      <c r="X97" s="360" t="n">
        <f aca="false">SUM(X76:X95)</f>
        <v>381977.1</v>
      </c>
      <c r="Y97" s="360" t="n">
        <f aca="false">SUM(Y76:Y95)</f>
        <v>330477.05</v>
      </c>
      <c r="Z97" s="417" t="n">
        <f aca="false">SUM(N97:Y97)</f>
        <v>3813153.501</v>
      </c>
      <c r="AE97" s="417" t="n">
        <f aca="false">Z97</f>
        <v>3813153.501</v>
      </c>
    </row>
    <row r="99" customFormat="false" ht="12.75" hidden="false" customHeight="true" outlineLevel="0" collapsed="false">
      <c r="A99" s="294" t="s">
        <v>343</v>
      </c>
      <c r="B99" s="294" t="s">
        <v>344</v>
      </c>
      <c r="C99" s="294" t="s">
        <v>367</v>
      </c>
      <c r="D99" s="294" t="s">
        <v>5</v>
      </c>
      <c r="W99" s="360" t="n">
        <v>35000</v>
      </c>
      <c r="X99" s="360" t="n">
        <v>35000</v>
      </c>
      <c r="Y99" s="360" t="n">
        <v>65000</v>
      </c>
    </row>
    <row r="100" customFormat="false" ht="12.75" hidden="false" customHeight="true" outlineLevel="0" collapsed="false">
      <c r="A100" s="294" t="s">
        <v>343</v>
      </c>
      <c r="B100" s="294" t="s">
        <v>344</v>
      </c>
      <c r="C100" s="294" t="s">
        <v>367</v>
      </c>
      <c r="D100" s="294" t="s">
        <v>225</v>
      </c>
      <c r="W100" s="421" t="n">
        <v>0.02</v>
      </c>
      <c r="X100" s="421" t="n">
        <v>0.02</v>
      </c>
      <c r="Y100" s="421" t="n">
        <v>0.02</v>
      </c>
    </row>
    <row r="101" customFormat="false" ht="12.75" hidden="false" customHeight="true" outlineLevel="0" collapsed="false">
      <c r="A101" s="294" t="s">
        <v>343</v>
      </c>
      <c r="B101" s="294" t="s">
        <v>344</v>
      </c>
      <c r="C101" s="294" t="s">
        <v>367</v>
      </c>
      <c r="D101" s="294" t="s">
        <v>6</v>
      </c>
      <c r="W101" s="360" t="n">
        <f aca="false">W99*W100*W1</f>
        <v>21700</v>
      </c>
      <c r="X101" s="360" t="n">
        <f aca="false">X99*X100*X1</f>
        <v>21000</v>
      </c>
      <c r="Y101" s="360" t="n">
        <f aca="false">Y99*Y100*Y1</f>
        <v>40300</v>
      </c>
      <c r="Z101" s="417" t="n">
        <f aca="false">SUM(W101:Y101)</f>
        <v>83000</v>
      </c>
    </row>
    <row r="104" customFormat="false" ht="12.75" hidden="false" customHeight="true" outlineLevel="0" collapsed="false">
      <c r="A104" s="294" t="s">
        <v>343</v>
      </c>
      <c r="B104" s="294" t="s">
        <v>344</v>
      </c>
      <c r="C104" s="294" t="s">
        <v>368</v>
      </c>
      <c r="E104" s="359" t="n">
        <v>8255</v>
      </c>
      <c r="F104" s="294" t="s">
        <v>351</v>
      </c>
      <c r="I104" s="360" t="n">
        <v>306000</v>
      </c>
      <c r="K104" s="357" t="n">
        <v>0.0686</v>
      </c>
      <c r="N104" s="360" t="n">
        <f aca="false">$I$104*$K$104*N$1</f>
        <v>650739.6</v>
      </c>
      <c r="O104" s="360" t="n">
        <f aca="false">$I$104*$K$104*O$1</f>
        <v>587764.8</v>
      </c>
      <c r="P104" s="360" t="n">
        <f aca="false">$I$104*$K$104*P$1</f>
        <v>650739.6</v>
      </c>
      <c r="Q104" s="360" t="n">
        <f aca="false">$I$104*$K$104*Q$1</f>
        <v>629748</v>
      </c>
      <c r="R104" s="360" t="n">
        <f aca="false">$I$104*$K$104*R$1</f>
        <v>650739.6</v>
      </c>
      <c r="S104" s="360" t="n">
        <f aca="false">$I$104*$K$104*S$1</f>
        <v>629748</v>
      </c>
      <c r="T104" s="360" t="n">
        <f aca="false">$I$104*$K$104*T$1</f>
        <v>650739.6</v>
      </c>
      <c r="U104" s="360" t="n">
        <f aca="false">$I$104*$K$104*U$1</f>
        <v>650739.6</v>
      </c>
      <c r="V104" s="360" t="n">
        <f aca="false">$I$104*$K$104*V$1</f>
        <v>629748</v>
      </c>
      <c r="W104" s="360" t="n">
        <f aca="false">$I$104*$K$104*W$1</f>
        <v>650739.6</v>
      </c>
      <c r="Z104" s="417" t="n">
        <f aca="false">SUM(N104:Y104)</f>
        <v>6381446.4</v>
      </c>
    </row>
    <row r="107" customFormat="false" ht="12.75" hidden="false" customHeight="true" outlineLevel="0" collapsed="false">
      <c r="A107" s="294" t="s">
        <v>343</v>
      </c>
      <c r="B107" s="294" t="s">
        <v>344</v>
      </c>
      <c r="C107" s="294" t="s">
        <v>369</v>
      </c>
      <c r="E107" s="359" t="n">
        <v>26683</v>
      </c>
      <c r="F107" s="294" t="s">
        <v>356</v>
      </c>
      <c r="G107" s="375" t="n">
        <v>36220</v>
      </c>
      <c r="H107" s="378" t="n">
        <v>36981</v>
      </c>
      <c r="I107" s="360" t="n">
        <v>8000</v>
      </c>
      <c r="K107" s="357" t="n">
        <v>0</v>
      </c>
      <c r="N107" s="360" t="n">
        <f aca="false">N17*$K107</f>
        <v>0</v>
      </c>
      <c r="O107" s="360" t="n">
        <f aca="false">O17*$K107</f>
        <v>0</v>
      </c>
      <c r="P107" s="360" t="n">
        <f aca="false">P17*$K107</f>
        <v>0</v>
      </c>
      <c r="AB107" s="361" t="s">
        <v>370</v>
      </c>
    </row>
    <row r="108" customFormat="false" ht="12.75" hidden="false" customHeight="true" outlineLevel="0" collapsed="false">
      <c r="A108" s="294" t="s">
        <v>343</v>
      </c>
      <c r="B108" s="294" t="s">
        <v>344</v>
      </c>
      <c r="C108" s="294" t="s">
        <v>369</v>
      </c>
      <c r="E108" s="359" t="n">
        <v>8255</v>
      </c>
      <c r="F108" s="294" t="s">
        <v>351</v>
      </c>
      <c r="H108" s="378" t="n">
        <v>38656</v>
      </c>
      <c r="I108" s="360" t="n">
        <v>306000</v>
      </c>
      <c r="K108" s="357" t="n">
        <v>0.003</v>
      </c>
      <c r="N108" s="360" t="n">
        <f aca="false">N13*$K108</f>
        <v>28458</v>
      </c>
      <c r="O108" s="360" t="n">
        <f aca="false">O13*$K108</f>
        <v>25704</v>
      </c>
      <c r="P108" s="360" t="n">
        <f aca="false">P13*$K108</f>
        <v>28458</v>
      </c>
      <c r="Q108" s="360" t="n">
        <f aca="false">Q13*$K108</f>
        <v>27540</v>
      </c>
      <c r="R108" s="360" t="n">
        <f aca="false">R13*$K108</f>
        <v>28458</v>
      </c>
      <c r="S108" s="360" t="n">
        <f aca="false">S13*$K108</f>
        <v>27540</v>
      </c>
      <c r="T108" s="360" t="n">
        <f aca="false">T13*$K108</f>
        <v>28458</v>
      </c>
      <c r="U108" s="360" t="n">
        <f aca="false">U13*$K108</f>
        <v>28458</v>
      </c>
      <c r="V108" s="360" t="n">
        <f aca="false">V13*$K108</f>
        <v>27540</v>
      </c>
      <c r="W108" s="360" t="n">
        <f aca="false">W13*$K108</f>
        <v>28458</v>
      </c>
      <c r="X108" s="360" t="n">
        <f aca="false">X13*$K108</f>
        <v>27540</v>
      </c>
      <c r="Y108" s="360" t="n">
        <f aca="false">Y13*$K108</f>
        <v>28458</v>
      </c>
    </row>
    <row r="109" customFormat="false" ht="12.75" hidden="false" customHeight="true" outlineLevel="0" collapsed="false"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</row>
    <row r="110" customFormat="false" ht="12.75" hidden="false" customHeight="true" outlineLevel="0" collapsed="false">
      <c r="N110" s="360" t="n">
        <f aca="false">SUM(N107:N109)</f>
        <v>28458</v>
      </c>
      <c r="O110" s="360" t="n">
        <f aca="false">SUM(O107:O109)</f>
        <v>25704</v>
      </c>
      <c r="P110" s="360" t="n">
        <f aca="false">SUM(P107:P109)</f>
        <v>28458</v>
      </c>
      <c r="Q110" s="360" t="n">
        <f aca="false">SUM(Q107:Q109)</f>
        <v>27540</v>
      </c>
      <c r="R110" s="360" t="n">
        <f aca="false">SUM(R107:R109)</f>
        <v>28458</v>
      </c>
      <c r="S110" s="360" t="n">
        <f aca="false">SUM(S107:S109)</f>
        <v>27540</v>
      </c>
      <c r="T110" s="360" t="n">
        <f aca="false">SUM(T107:T109)</f>
        <v>28458</v>
      </c>
      <c r="U110" s="360" t="n">
        <f aca="false">SUM(U107:U109)</f>
        <v>28458</v>
      </c>
      <c r="V110" s="360" t="n">
        <f aca="false">SUM(V107:V109)</f>
        <v>27540</v>
      </c>
      <c r="W110" s="360" t="n">
        <f aca="false">SUM(W107:W109)</f>
        <v>28458</v>
      </c>
      <c r="X110" s="360" t="n">
        <f aca="false">SUM(X107:X109)</f>
        <v>27540</v>
      </c>
      <c r="Y110" s="360" t="n">
        <f aca="false">SUM(Y107:Y109)</f>
        <v>28458</v>
      </c>
      <c r="Z110" s="417" t="n">
        <f aca="false">SUM(N110:Y110)</f>
        <v>335070</v>
      </c>
      <c r="AA110" s="417" t="n">
        <v>737154</v>
      </c>
      <c r="AB110" s="417" t="n">
        <f aca="false">AA110-Z110</f>
        <v>402084</v>
      </c>
    </row>
    <row r="113" customFormat="false" ht="12.75" hidden="false" customHeight="true" outlineLevel="0" collapsed="false">
      <c r="A113" s="422"/>
      <c r="B113" s="422"/>
      <c r="C113" s="422"/>
      <c r="D113" s="422"/>
      <c r="E113" s="423"/>
      <c r="F113" s="422"/>
      <c r="G113" s="422"/>
      <c r="H113" s="423"/>
      <c r="I113" s="424"/>
      <c r="J113" s="422"/>
      <c r="K113" s="425"/>
      <c r="L113" s="422"/>
      <c r="M113" s="426"/>
      <c r="N113" s="424"/>
      <c r="O113" s="424"/>
      <c r="P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2"/>
      <c r="AA113" s="422"/>
      <c r="AB113" s="422"/>
      <c r="AC113" s="422"/>
      <c r="AD113" s="422"/>
      <c r="AE113" s="422"/>
      <c r="AF113" s="422"/>
      <c r="AG113" s="422"/>
      <c r="AH113" s="422"/>
      <c r="AI113" s="422"/>
      <c r="AJ113" s="422"/>
      <c r="AK113" s="422"/>
      <c r="AL113" s="422"/>
      <c r="AM113" s="422"/>
      <c r="AN113" s="422"/>
      <c r="AO113" s="422"/>
      <c r="AP113" s="422"/>
      <c r="AQ113" s="422"/>
      <c r="AR113" s="422"/>
      <c r="AS113" s="422"/>
      <c r="AT113" s="422"/>
      <c r="AU113" s="422"/>
      <c r="AV113" s="422"/>
      <c r="AW113" s="422"/>
      <c r="AX113" s="422"/>
      <c r="AY113" s="422"/>
      <c r="AZ113" s="422"/>
      <c r="BA113" s="422"/>
      <c r="BB113" s="422"/>
      <c r="BC113" s="422"/>
      <c r="BD113" s="422"/>
      <c r="BE113" s="422"/>
      <c r="BF113" s="422"/>
      <c r="BG113" s="422"/>
      <c r="BH113" s="422"/>
      <c r="BI113" s="422"/>
      <c r="BJ113" s="422"/>
      <c r="BK113" s="422"/>
      <c r="BL113" s="422"/>
      <c r="BM113" s="422"/>
      <c r="BN113" s="422"/>
      <c r="BO113" s="422"/>
      <c r="BP113" s="422"/>
      <c r="BQ113" s="422"/>
      <c r="BR113" s="422"/>
      <c r="BS113" s="422"/>
      <c r="BT113" s="422"/>
      <c r="BU113" s="422"/>
      <c r="BV113" s="422"/>
      <c r="BW113" s="422"/>
      <c r="BX113" s="422"/>
      <c r="BY113" s="422"/>
      <c r="BZ113" s="422"/>
      <c r="CA113" s="422"/>
      <c r="CB113" s="422"/>
      <c r="CC113" s="422"/>
      <c r="CD113" s="422"/>
      <c r="CE113" s="422"/>
      <c r="CF113" s="422"/>
      <c r="CG113" s="422"/>
      <c r="CH113" s="422"/>
      <c r="CI113" s="422"/>
      <c r="CJ113" s="422"/>
      <c r="CK113" s="422"/>
      <c r="CL113" s="422"/>
      <c r="CM113" s="422"/>
      <c r="CN113" s="422"/>
      <c r="CO113" s="422"/>
      <c r="CP113" s="422"/>
      <c r="CQ113" s="422"/>
      <c r="CR113" s="422"/>
      <c r="CS113" s="422"/>
      <c r="CT113" s="422"/>
      <c r="CU113" s="422"/>
      <c r="CV113" s="422"/>
      <c r="CW113" s="422"/>
      <c r="CX113" s="422"/>
      <c r="CY113" s="422"/>
      <c r="CZ113" s="422"/>
      <c r="DA113" s="422"/>
      <c r="DB113" s="422"/>
      <c r="DC113" s="422"/>
      <c r="DD113" s="422"/>
      <c r="DE113" s="422"/>
      <c r="DF113" s="422"/>
      <c r="DG113" s="422"/>
      <c r="DH113" s="422"/>
      <c r="DI113" s="422"/>
      <c r="DJ113" s="422"/>
      <c r="DK113" s="422"/>
      <c r="DL113" s="422"/>
      <c r="DM113" s="422"/>
      <c r="DN113" s="422"/>
      <c r="DO113" s="422"/>
      <c r="DP113" s="422"/>
      <c r="DQ113" s="422"/>
      <c r="DR113" s="422"/>
      <c r="DS113" s="422"/>
      <c r="DT113" s="422"/>
      <c r="DU113" s="422"/>
      <c r="DV113" s="422"/>
      <c r="DW113" s="422"/>
      <c r="DX113" s="422"/>
      <c r="DY113" s="422"/>
      <c r="DZ113" s="422"/>
      <c r="EA113" s="422"/>
      <c r="EB113" s="422"/>
      <c r="EC113" s="422"/>
      <c r="ED113" s="422"/>
      <c r="EE113" s="422"/>
      <c r="EF113" s="422"/>
      <c r="EG113" s="422"/>
      <c r="EH113" s="422"/>
      <c r="EI113" s="422"/>
      <c r="EJ113" s="422"/>
      <c r="EK113" s="422"/>
      <c r="EL113" s="422"/>
      <c r="EM113" s="422"/>
      <c r="EN113" s="422"/>
      <c r="EO113" s="422"/>
      <c r="EP113" s="422"/>
      <c r="EQ113" s="422"/>
      <c r="ER113" s="422"/>
      <c r="ES113" s="422"/>
      <c r="ET113" s="422"/>
      <c r="EU113" s="422"/>
      <c r="EV113" s="422"/>
      <c r="EW113" s="422"/>
      <c r="EX113" s="422"/>
      <c r="EY113" s="422"/>
      <c r="EZ113" s="422"/>
      <c r="FA113" s="422"/>
      <c r="FB113" s="422"/>
      <c r="FC113" s="422"/>
      <c r="FD113" s="422"/>
      <c r="FE113" s="422"/>
      <c r="FF113" s="422"/>
      <c r="FG113" s="422"/>
      <c r="FH113" s="422"/>
      <c r="FI113" s="422"/>
      <c r="FJ113" s="422"/>
      <c r="FK113" s="422"/>
      <c r="FL113" s="422"/>
      <c r="FM113" s="422"/>
      <c r="FN113" s="422"/>
      <c r="FO113" s="422"/>
      <c r="FP113" s="422"/>
      <c r="FQ113" s="422"/>
      <c r="FR113" s="422"/>
      <c r="FS113" s="422"/>
      <c r="FT113" s="422"/>
      <c r="FU113" s="422"/>
      <c r="FV113" s="422"/>
      <c r="FW113" s="422"/>
      <c r="FX113" s="422"/>
      <c r="FY113" s="422"/>
      <c r="FZ113" s="422"/>
      <c r="GA113" s="422"/>
      <c r="GB113" s="422"/>
      <c r="GC113" s="422"/>
      <c r="GD113" s="422"/>
      <c r="GE113" s="422"/>
      <c r="GF113" s="422"/>
      <c r="GG113" s="422"/>
      <c r="GH113" s="422"/>
      <c r="GI113" s="422"/>
      <c r="GJ113" s="422"/>
      <c r="GK113" s="422"/>
      <c r="GL113" s="422"/>
      <c r="GM113" s="422"/>
      <c r="GN113" s="422"/>
      <c r="GO113" s="422"/>
      <c r="GP113" s="422"/>
      <c r="GQ113" s="422"/>
      <c r="GR113" s="422"/>
      <c r="GS113" s="422"/>
      <c r="GT113" s="422"/>
      <c r="GU113" s="422"/>
      <c r="GV113" s="422"/>
      <c r="GW113" s="422"/>
      <c r="GX113" s="422"/>
      <c r="GY113" s="422"/>
      <c r="GZ113" s="422"/>
      <c r="HA113" s="422"/>
      <c r="HB113" s="422"/>
      <c r="HC113" s="422"/>
      <c r="HD113" s="422"/>
      <c r="HE113" s="422"/>
      <c r="HF113" s="422"/>
      <c r="HG113" s="422"/>
      <c r="HH113" s="422"/>
      <c r="HI113" s="422"/>
      <c r="HJ113" s="422"/>
      <c r="HK113" s="422"/>
      <c r="HL113" s="422"/>
      <c r="HM113" s="422"/>
      <c r="HN113" s="422"/>
      <c r="HO113" s="422"/>
      <c r="HP113" s="422"/>
      <c r="HQ113" s="422"/>
      <c r="HR113" s="422"/>
      <c r="HS113" s="422"/>
      <c r="HT113" s="422"/>
      <c r="HU113" s="422"/>
      <c r="HV113" s="422"/>
      <c r="HW113" s="422"/>
      <c r="HX113" s="422"/>
      <c r="HY113" s="422"/>
      <c r="HZ113" s="422"/>
      <c r="IA113" s="422"/>
      <c r="IB113" s="422"/>
      <c r="IC113" s="422"/>
      <c r="ID113" s="422"/>
      <c r="IE113" s="422"/>
      <c r="IF113" s="422"/>
      <c r="IG113" s="422"/>
      <c r="IH113" s="422"/>
      <c r="II113" s="422"/>
      <c r="IJ113" s="422"/>
      <c r="IK113" s="422"/>
      <c r="IL113" s="422"/>
      <c r="IM113" s="422"/>
      <c r="IN113" s="422"/>
      <c r="IO113" s="422"/>
      <c r="IP113" s="422"/>
      <c r="IQ113" s="422"/>
      <c r="IR113" s="422"/>
      <c r="IS113" s="422"/>
      <c r="IT113" s="422"/>
      <c r="IU113" s="422"/>
      <c r="IV113" s="422"/>
      <c r="IW113" s="422"/>
    </row>
    <row r="115" customFormat="false" ht="12.75" hidden="false" customHeight="true" outlineLevel="0" collapsed="false">
      <c r="A115" s="294" t="s">
        <v>343</v>
      </c>
      <c r="B115" s="294" t="s">
        <v>371</v>
      </c>
      <c r="C115" s="294" t="s">
        <v>5</v>
      </c>
      <c r="D115" s="294" t="s">
        <v>332</v>
      </c>
      <c r="E115" s="359" t="n">
        <v>25924</v>
      </c>
      <c r="F115" s="294" t="s">
        <v>372</v>
      </c>
      <c r="H115" s="378" t="n">
        <v>39141</v>
      </c>
      <c r="I115" s="360" t="n">
        <v>20000</v>
      </c>
      <c r="M115" s="361" t="s">
        <v>373</v>
      </c>
      <c r="N115" s="360" t="n">
        <f aca="false">$I115*N$1</f>
        <v>620000</v>
      </c>
      <c r="O115" s="360" t="n">
        <f aca="false">$I115*O$1</f>
        <v>560000</v>
      </c>
      <c r="P115" s="360" t="n">
        <f aca="false">$I115*P$1</f>
        <v>620000</v>
      </c>
      <c r="Q115" s="360" t="n">
        <f aca="false">$I115*Q$1</f>
        <v>600000</v>
      </c>
      <c r="R115" s="360" t="n">
        <f aca="false">$I115*R$1</f>
        <v>620000</v>
      </c>
      <c r="S115" s="360" t="n">
        <f aca="false">$I115*S$1</f>
        <v>600000</v>
      </c>
      <c r="T115" s="360" t="n">
        <f aca="false">$I115*T$1</f>
        <v>620000</v>
      </c>
      <c r="U115" s="360" t="n">
        <f aca="false">$I115*U$1</f>
        <v>620000</v>
      </c>
      <c r="V115" s="360" t="n">
        <f aca="false">$I115*V$1</f>
        <v>600000</v>
      </c>
      <c r="W115" s="360" t="n">
        <f aca="false">$I115*W$1</f>
        <v>620000</v>
      </c>
      <c r="X115" s="360" t="n">
        <f aca="false">$I115*X$1</f>
        <v>600000</v>
      </c>
      <c r="Y115" s="360" t="n">
        <f aca="false">$I115*Y$1</f>
        <v>620000</v>
      </c>
    </row>
    <row r="116" customFormat="false" ht="12.75" hidden="false" customHeight="true" outlineLevel="0" collapsed="false">
      <c r="A116" s="294" t="s">
        <v>343</v>
      </c>
      <c r="B116" s="294" t="s">
        <v>371</v>
      </c>
      <c r="C116" s="294" t="s">
        <v>5</v>
      </c>
      <c r="D116" s="294" t="s">
        <v>332</v>
      </c>
      <c r="E116" s="359" t="n">
        <v>20747</v>
      </c>
      <c r="F116" s="294" t="s">
        <v>374</v>
      </c>
      <c r="H116" s="378" t="n">
        <v>37315</v>
      </c>
      <c r="I116" s="360" t="n">
        <v>10000</v>
      </c>
      <c r="M116" s="361" t="s">
        <v>373</v>
      </c>
      <c r="N116" s="360" t="n">
        <f aca="false">$I116*N$1</f>
        <v>310000</v>
      </c>
      <c r="O116" s="360" t="n">
        <f aca="false">$I116*O$1</f>
        <v>280000</v>
      </c>
      <c r="P116" s="360" t="n">
        <f aca="false">$I116*P$1</f>
        <v>310000</v>
      </c>
      <c r="Q116" s="360" t="n">
        <f aca="false">$I116*Q$1</f>
        <v>300000</v>
      </c>
      <c r="R116" s="360" t="n">
        <f aca="false">$I116*R$1</f>
        <v>310000</v>
      </c>
      <c r="S116" s="360" t="n">
        <f aca="false">$I116*S$1</f>
        <v>300000</v>
      </c>
      <c r="T116" s="360" t="n">
        <f aca="false">$I116*T$1</f>
        <v>310000</v>
      </c>
      <c r="U116" s="360" t="n">
        <f aca="false">$I116*U$1</f>
        <v>310000</v>
      </c>
      <c r="V116" s="360" t="n">
        <f aca="false">$I116*V$1</f>
        <v>300000</v>
      </c>
      <c r="W116" s="360" t="n">
        <f aca="false">$I116*W$1</f>
        <v>310000</v>
      </c>
      <c r="X116" s="360" t="n">
        <f aca="false">$I116*X$1</f>
        <v>300000</v>
      </c>
      <c r="Y116" s="360" t="n">
        <f aca="false">$I116*Y$1</f>
        <v>310000</v>
      </c>
    </row>
    <row r="117" customFormat="false" ht="12.75" hidden="false" customHeight="true" outlineLevel="0" collapsed="false">
      <c r="A117" s="294" t="s">
        <v>343</v>
      </c>
      <c r="B117" s="294" t="s">
        <v>371</v>
      </c>
      <c r="C117" s="294" t="s">
        <v>5</v>
      </c>
      <c r="D117" s="294" t="s">
        <v>332</v>
      </c>
      <c r="E117" s="359" t="n">
        <v>20748</v>
      </c>
      <c r="F117" s="294" t="s">
        <v>374</v>
      </c>
      <c r="H117" s="378" t="n">
        <v>37315</v>
      </c>
      <c r="I117" s="360" t="n">
        <v>10000</v>
      </c>
      <c r="M117" s="361" t="s">
        <v>373</v>
      </c>
      <c r="N117" s="360" t="n">
        <f aca="false">$I117*N$1</f>
        <v>310000</v>
      </c>
      <c r="O117" s="360" t="n">
        <f aca="false">$I117*O$1</f>
        <v>280000</v>
      </c>
      <c r="P117" s="360" t="n">
        <f aca="false">$I117*P$1</f>
        <v>310000</v>
      </c>
      <c r="Q117" s="360" t="n">
        <f aca="false">$I117*Q$1</f>
        <v>300000</v>
      </c>
      <c r="R117" s="360" t="n">
        <f aca="false">$I117*R$1</f>
        <v>310000</v>
      </c>
      <c r="S117" s="360" t="n">
        <f aca="false">$I117*S$1</f>
        <v>300000</v>
      </c>
      <c r="T117" s="360" t="n">
        <f aca="false">$I117*T$1</f>
        <v>310000</v>
      </c>
      <c r="U117" s="360" t="n">
        <f aca="false">$I117*U$1</f>
        <v>310000</v>
      </c>
      <c r="V117" s="360" t="n">
        <f aca="false">$I117*V$1</f>
        <v>300000</v>
      </c>
      <c r="W117" s="360" t="n">
        <f aca="false">$I117*W$1</f>
        <v>310000</v>
      </c>
      <c r="X117" s="360" t="n">
        <f aca="false">$I117*X$1</f>
        <v>300000</v>
      </c>
      <c r="Y117" s="360" t="n">
        <f aca="false">$I117*Y$1</f>
        <v>310000</v>
      </c>
    </row>
    <row r="118" customFormat="false" ht="12.75" hidden="false" customHeight="true" outlineLevel="0" collapsed="false">
      <c r="A118" s="294" t="s">
        <v>343</v>
      </c>
      <c r="B118" s="294" t="s">
        <v>371</v>
      </c>
      <c r="C118" s="294" t="s">
        <v>5</v>
      </c>
      <c r="D118" s="294" t="s">
        <v>332</v>
      </c>
      <c r="E118" s="359" t="n">
        <v>20822</v>
      </c>
      <c r="F118" s="294" t="s">
        <v>375</v>
      </c>
      <c r="H118" s="378" t="n">
        <v>39141</v>
      </c>
      <c r="I118" s="360" t="n">
        <v>25000</v>
      </c>
      <c r="M118" s="361" t="s">
        <v>373</v>
      </c>
      <c r="N118" s="360" t="n">
        <f aca="false">$I118*N$1</f>
        <v>775000</v>
      </c>
      <c r="O118" s="360" t="n">
        <f aca="false">$I118*O$1</f>
        <v>700000</v>
      </c>
      <c r="P118" s="360" t="n">
        <f aca="false">$I118*P$1</f>
        <v>775000</v>
      </c>
      <c r="Q118" s="360" t="n">
        <f aca="false">$I118*Q$1</f>
        <v>750000</v>
      </c>
      <c r="R118" s="360" t="n">
        <f aca="false">$I118*R$1</f>
        <v>775000</v>
      </c>
      <c r="S118" s="360" t="n">
        <f aca="false">$I118*S$1</f>
        <v>750000</v>
      </c>
      <c r="T118" s="360" t="n">
        <f aca="false">$I118*T$1</f>
        <v>775000</v>
      </c>
      <c r="U118" s="360" t="n">
        <f aca="false">$I118*U$1</f>
        <v>775000</v>
      </c>
      <c r="V118" s="360" t="n">
        <f aca="false">$I118*V$1</f>
        <v>750000</v>
      </c>
      <c r="W118" s="360" t="n">
        <f aca="false">$I118*W$1</f>
        <v>775000</v>
      </c>
      <c r="X118" s="360" t="n">
        <f aca="false">$I118*X$1</f>
        <v>750000</v>
      </c>
      <c r="Y118" s="360" t="n">
        <f aca="false">$I118*Y$1</f>
        <v>775000</v>
      </c>
    </row>
    <row r="119" customFormat="false" ht="12.75" hidden="false" customHeight="true" outlineLevel="0" collapsed="false">
      <c r="A119" s="294" t="s">
        <v>343</v>
      </c>
      <c r="B119" s="294" t="s">
        <v>371</v>
      </c>
      <c r="C119" s="294" t="s">
        <v>5</v>
      </c>
      <c r="D119" s="294" t="s">
        <v>332</v>
      </c>
      <c r="E119" s="359" t="n">
        <v>26678</v>
      </c>
      <c r="F119" s="294" t="s">
        <v>376</v>
      </c>
      <c r="H119" s="378" t="n">
        <v>39172</v>
      </c>
      <c r="I119" s="360" t="n">
        <v>25000</v>
      </c>
      <c r="M119" s="361" t="s">
        <v>373</v>
      </c>
      <c r="N119" s="360" t="n">
        <f aca="false">$I119*N$1</f>
        <v>775000</v>
      </c>
      <c r="O119" s="360" t="n">
        <f aca="false">$I119*O$1</f>
        <v>700000</v>
      </c>
      <c r="P119" s="360" t="n">
        <f aca="false">$I119*P$1</f>
        <v>775000</v>
      </c>
      <c r="Q119" s="360" t="n">
        <f aca="false">$I119*Q$1</f>
        <v>750000</v>
      </c>
      <c r="R119" s="360" t="n">
        <f aca="false">$I119*R$1</f>
        <v>775000</v>
      </c>
      <c r="S119" s="360" t="n">
        <f aca="false">$I119*S$1</f>
        <v>750000</v>
      </c>
      <c r="T119" s="360" t="n">
        <f aca="false">$I119*T$1</f>
        <v>775000</v>
      </c>
      <c r="U119" s="360" t="n">
        <f aca="false">$I119*U$1</f>
        <v>775000</v>
      </c>
      <c r="V119" s="360" t="n">
        <f aca="false">$I119*V$1</f>
        <v>750000</v>
      </c>
      <c r="W119" s="360" t="n">
        <f aca="false">$I119*W$1</f>
        <v>775000</v>
      </c>
      <c r="X119" s="360" t="n">
        <f aca="false">$I119*X$1</f>
        <v>750000</v>
      </c>
      <c r="Y119" s="360" t="n">
        <f aca="false">$I119*Y$1</f>
        <v>775000</v>
      </c>
    </row>
    <row r="120" customFormat="false" ht="12.75" hidden="false" customHeight="true" outlineLevel="0" collapsed="false">
      <c r="A120" s="389" t="s">
        <v>343</v>
      </c>
      <c r="B120" s="389" t="s">
        <v>371</v>
      </c>
      <c r="C120" s="389" t="s">
        <v>5</v>
      </c>
      <c r="D120" s="389" t="s">
        <v>332</v>
      </c>
      <c r="E120" s="427" t="n">
        <v>27583</v>
      </c>
      <c r="F120" s="389" t="s">
        <v>377</v>
      </c>
      <c r="G120" s="390" t="n">
        <v>37012</v>
      </c>
      <c r="H120" s="391" t="n">
        <v>37407</v>
      </c>
      <c r="I120" s="392" t="n">
        <v>1300</v>
      </c>
      <c r="R120" s="392" t="n">
        <f aca="false">$I120*R$1</f>
        <v>40300</v>
      </c>
      <c r="S120" s="392" t="n">
        <f aca="false">$I120*S$1</f>
        <v>39000</v>
      </c>
      <c r="T120" s="392" t="n">
        <f aca="false">$I120*T$1</f>
        <v>40300</v>
      </c>
      <c r="U120" s="392" t="n">
        <f aca="false">$I120*U$1</f>
        <v>40300</v>
      </c>
      <c r="V120" s="392" t="n">
        <f aca="false">$I120*V$1</f>
        <v>39000</v>
      </c>
      <c r="W120" s="392" t="n">
        <f aca="false">$I120*W$1</f>
        <v>40300</v>
      </c>
      <c r="X120" s="392" t="n">
        <f aca="false">$I120*X$1</f>
        <v>39000</v>
      </c>
      <c r="Y120" s="392" t="n">
        <f aca="false">$I120*Y$1</f>
        <v>40300</v>
      </c>
    </row>
    <row r="121" customFormat="false" ht="12.75" hidden="false" customHeight="true" outlineLevel="0" collapsed="false">
      <c r="A121" s="294" t="s">
        <v>343</v>
      </c>
      <c r="B121" s="294" t="s">
        <v>371</v>
      </c>
      <c r="C121" s="294" t="s">
        <v>5</v>
      </c>
      <c r="D121" s="294" t="s">
        <v>332</v>
      </c>
      <c r="E121" s="359" t="n">
        <v>26372</v>
      </c>
      <c r="F121" s="294" t="s">
        <v>378</v>
      </c>
      <c r="H121" s="378" t="n">
        <v>39172</v>
      </c>
      <c r="I121" s="360" t="n">
        <v>25000</v>
      </c>
      <c r="M121" s="361" t="s">
        <v>373</v>
      </c>
      <c r="N121" s="360" t="n">
        <f aca="false">$I121*N$1</f>
        <v>775000</v>
      </c>
      <c r="O121" s="360" t="n">
        <f aca="false">$I121*O$1</f>
        <v>700000</v>
      </c>
      <c r="P121" s="360" t="n">
        <f aca="false">$I121*P$1</f>
        <v>775000</v>
      </c>
      <c r="Q121" s="360" t="n">
        <f aca="false">$I121*Q$1</f>
        <v>750000</v>
      </c>
      <c r="R121" s="360" t="n">
        <f aca="false">$I121*R$1</f>
        <v>775000</v>
      </c>
      <c r="S121" s="360" t="n">
        <f aca="false">$I121*S$1</f>
        <v>750000</v>
      </c>
      <c r="T121" s="360" t="n">
        <f aca="false">$I121*T$1</f>
        <v>775000</v>
      </c>
      <c r="U121" s="360" t="n">
        <f aca="false">$I121*U$1</f>
        <v>775000</v>
      </c>
      <c r="V121" s="360" t="n">
        <f aca="false">$I121*V$1</f>
        <v>750000</v>
      </c>
      <c r="W121" s="360" t="n">
        <f aca="false">$I121*W$1</f>
        <v>775000</v>
      </c>
      <c r="X121" s="360" t="n">
        <f aca="false">$I121*X$1</f>
        <v>750000</v>
      </c>
      <c r="Y121" s="360" t="n">
        <f aca="false">$I121*Y$1</f>
        <v>775000</v>
      </c>
    </row>
    <row r="122" customFormat="false" ht="12.75" hidden="false" customHeight="true" outlineLevel="0" collapsed="false">
      <c r="A122" s="294" t="s">
        <v>343</v>
      </c>
      <c r="B122" s="294" t="s">
        <v>371</v>
      </c>
      <c r="C122" s="294" t="s">
        <v>5</v>
      </c>
      <c r="D122" s="294" t="s">
        <v>332</v>
      </c>
      <c r="E122" s="359" t="n">
        <v>21165</v>
      </c>
      <c r="F122" s="294" t="s">
        <v>353</v>
      </c>
      <c r="H122" s="378" t="n">
        <v>39172</v>
      </c>
      <c r="I122" s="360" t="n">
        <v>150000</v>
      </c>
      <c r="M122" s="361" t="s">
        <v>373</v>
      </c>
      <c r="N122" s="360" t="n">
        <f aca="false">$I122*N$1</f>
        <v>4650000</v>
      </c>
      <c r="O122" s="360" t="n">
        <f aca="false">$I122*O$1</f>
        <v>4200000</v>
      </c>
      <c r="P122" s="360" t="n">
        <f aca="false">$I122*P$1</f>
        <v>4650000</v>
      </c>
      <c r="Q122" s="360" t="n">
        <f aca="false">$I122*Q$1</f>
        <v>4500000</v>
      </c>
      <c r="R122" s="360" t="n">
        <f aca="false">$I122*R$1</f>
        <v>4650000</v>
      </c>
      <c r="S122" s="360" t="n">
        <f aca="false">$I122*S$1</f>
        <v>4500000</v>
      </c>
      <c r="T122" s="360" t="n">
        <f aca="false">$I122*T$1</f>
        <v>4650000</v>
      </c>
      <c r="U122" s="360" t="n">
        <f aca="false">$I122*U$1</f>
        <v>4650000</v>
      </c>
      <c r="V122" s="360" t="n">
        <f aca="false">$I122*V$1</f>
        <v>4500000</v>
      </c>
      <c r="W122" s="360" t="n">
        <f aca="false">$I122*W$1</f>
        <v>4650000</v>
      </c>
      <c r="X122" s="360" t="n">
        <f aca="false">$I122*X$1</f>
        <v>4500000</v>
      </c>
      <c r="Y122" s="360" t="n">
        <f aca="false">$I122*Y$1</f>
        <v>4650000</v>
      </c>
    </row>
    <row r="124" customFormat="false" ht="12.75" hidden="false" customHeight="true" outlineLevel="0" collapsed="false">
      <c r="I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368"/>
    </row>
    <row r="125" customFormat="false" ht="12.75" hidden="false" customHeight="true" outlineLevel="0" collapsed="false">
      <c r="I125" s="360" t="n">
        <f aca="false">SUM(I115:I124)</f>
        <v>266300</v>
      </c>
      <c r="N125" s="360" t="n">
        <f aca="false">SUM(N115:N124)</f>
        <v>8215000</v>
      </c>
      <c r="O125" s="360" t="n">
        <f aca="false">SUM(O115:O124)</f>
        <v>7420000</v>
      </c>
      <c r="P125" s="360" t="n">
        <f aca="false">SUM(P115:P124)</f>
        <v>8215000</v>
      </c>
      <c r="Q125" s="360" t="n">
        <f aca="false">SUM(Q115:Q124)</f>
        <v>7950000</v>
      </c>
      <c r="R125" s="360" t="n">
        <f aca="false">SUM(R115:R124)</f>
        <v>8255300</v>
      </c>
      <c r="S125" s="360" t="n">
        <f aca="false">SUM(S115:S124)</f>
        <v>7989000</v>
      </c>
      <c r="T125" s="360" t="n">
        <f aca="false">SUM(T115:T124)</f>
        <v>8255300</v>
      </c>
      <c r="U125" s="360" t="n">
        <f aca="false">SUM(U115:U124)</f>
        <v>8255300</v>
      </c>
      <c r="V125" s="360" t="n">
        <f aca="false">SUM(V115:V124)</f>
        <v>7989000</v>
      </c>
      <c r="W125" s="360" t="n">
        <f aca="false">SUM(W115:W124)</f>
        <v>8255300</v>
      </c>
      <c r="X125" s="360" t="n">
        <f aca="false">SUM(X115:X124)</f>
        <v>7989000</v>
      </c>
      <c r="Y125" s="360" t="n">
        <f aca="false">SUM(Y115:Y124)</f>
        <v>8255300</v>
      </c>
    </row>
    <row r="127" customFormat="false" ht="12.75" hidden="false" customHeight="true" outlineLevel="0" collapsed="false">
      <c r="A127" s="397" t="s">
        <v>379</v>
      </c>
      <c r="B127" s="398"/>
      <c r="C127" s="398"/>
      <c r="D127" s="398"/>
      <c r="E127" s="399"/>
      <c r="F127" s="398"/>
      <c r="G127" s="398"/>
      <c r="H127" s="399"/>
      <c r="I127" s="400"/>
      <c r="J127" s="398"/>
      <c r="K127" s="401"/>
      <c r="L127" s="398"/>
      <c r="M127" s="402"/>
      <c r="N127" s="403" t="n">
        <v>1.56</v>
      </c>
      <c r="O127" s="403" t="n">
        <v>1.64</v>
      </c>
      <c r="P127" s="403" t="n">
        <v>1.57</v>
      </c>
      <c r="Q127" s="403" t="n">
        <v>1.5</v>
      </c>
      <c r="R127" s="403" t="n">
        <v>1.45</v>
      </c>
      <c r="S127" s="403" t="n">
        <v>1.35</v>
      </c>
      <c r="T127" s="403" t="n">
        <v>1.35</v>
      </c>
      <c r="U127" s="403" t="n">
        <v>1.75</v>
      </c>
      <c r="V127" s="403" t="n">
        <v>1.72</v>
      </c>
      <c r="W127" s="403" t="n">
        <v>1.5</v>
      </c>
      <c r="X127" s="403" t="n">
        <v>1.12</v>
      </c>
      <c r="Y127" s="405" t="n">
        <v>1.19</v>
      </c>
    </row>
    <row r="128" customFormat="false" ht="12.75" hidden="false" customHeight="true" outlineLevel="0" collapsed="false">
      <c r="A128" s="294" t="s">
        <v>343</v>
      </c>
      <c r="B128" s="294" t="s">
        <v>371</v>
      </c>
      <c r="C128" s="294" t="s">
        <v>5</v>
      </c>
      <c r="D128" s="294" t="s">
        <v>329</v>
      </c>
      <c r="E128" s="359" t="n">
        <v>25924</v>
      </c>
      <c r="F128" s="294" t="s">
        <v>372</v>
      </c>
      <c r="H128" s="378" t="n">
        <v>39141</v>
      </c>
      <c r="I128" s="360" t="n">
        <v>20000</v>
      </c>
      <c r="M128" s="361" t="s">
        <v>373</v>
      </c>
      <c r="N128" s="360" t="n">
        <f aca="false">N115*N$127</f>
        <v>967200</v>
      </c>
      <c r="O128" s="360" t="n">
        <f aca="false">O115*O$127</f>
        <v>918400</v>
      </c>
      <c r="P128" s="360" t="n">
        <f aca="false">P115*P$127</f>
        <v>973400</v>
      </c>
      <c r="Q128" s="360" t="n">
        <f aca="false">Q115*Q$127</f>
        <v>900000</v>
      </c>
      <c r="R128" s="360" t="n">
        <f aca="false">R115*R$127</f>
        <v>899000</v>
      </c>
      <c r="S128" s="360" t="n">
        <f aca="false">S115*S$127</f>
        <v>810000</v>
      </c>
      <c r="T128" s="360" t="n">
        <f aca="false">T115*T$127</f>
        <v>837000</v>
      </c>
      <c r="U128" s="360" t="n">
        <f aca="false">U115*U$127</f>
        <v>1085000</v>
      </c>
      <c r="V128" s="360" t="n">
        <f aca="false">V115*V$127</f>
        <v>1032000</v>
      </c>
      <c r="W128" s="360" t="n">
        <f aca="false">W115*W$127</f>
        <v>930000</v>
      </c>
      <c r="X128" s="360" t="n">
        <f aca="false">X115*X$127</f>
        <v>672000</v>
      </c>
      <c r="Y128" s="360" t="n">
        <f aca="false">Y115*Y$127</f>
        <v>737800</v>
      </c>
    </row>
    <row r="129" customFormat="false" ht="12.75" hidden="false" customHeight="true" outlineLevel="0" collapsed="false">
      <c r="A129" s="406"/>
      <c r="B129" s="406" t="s">
        <v>364</v>
      </c>
      <c r="C129" s="406" t="s">
        <v>5</v>
      </c>
      <c r="D129" s="406" t="s">
        <v>329</v>
      </c>
      <c r="E129" s="407"/>
      <c r="F129" s="406"/>
      <c r="G129" s="408"/>
      <c r="H129" s="409"/>
      <c r="I129" s="410"/>
      <c r="J129" s="406"/>
      <c r="K129" s="411"/>
      <c r="L129" s="406"/>
      <c r="M129" s="412"/>
      <c r="N129" s="410"/>
      <c r="O129" s="410"/>
      <c r="P129" s="410"/>
      <c r="Q129" s="410" t="n">
        <v>0</v>
      </c>
      <c r="R129" s="410" t="n">
        <v>0</v>
      </c>
      <c r="S129" s="410"/>
      <c r="T129" s="410"/>
      <c r="U129" s="410"/>
      <c r="V129" s="410" t="n">
        <f aca="false">-200000</f>
        <v>-200000</v>
      </c>
      <c r="W129" s="410" t="n">
        <f aca="false">-130000*4</f>
        <v>-520000</v>
      </c>
      <c r="X129" s="410" t="n">
        <f aca="false">-130000*2</f>
        <v>-260000</v>
      </c>
      <c r="Y129" s="410"/>
      <c r="Z129" s="406"/>
      <c r="AA129" s="406"/>
      <c r="AB129" s="406"/>
      <c r="AC129" s="406"/>
      <c r="AD129" s="406"/>
      <c r="AE129" s="406"/>
      <c r="AF129" s="406"/>
      <c r="AG129" s="406"/>
      <c r="AH129" s="406"/>
      <c r="AI129" s="406"/>
      <c r="AJ129" s="406"/>
      <c r="AK129" s="406"/>
      <c r="AL129" s="406"/>
      <c r="AM129" s="406"/>
      <c r="AN129" s="406"/>
      <c r="AO129" s="406"/>
      <c r="AP129" s="406"/>
      <c r="AQ129" s="406"/>
      <c r="AR129" s="406"/>
      <c r="AS129" s="406"/>
      <c r="AT129" s="406"/>
      <c r="AU129" s="406"/>
      <c r="AV129" s="406"/>
      <c r="AW129" s="406"/>
      <c r="AX129" s="406"/>
      <c r="AY129" s="406"/>
      <c r="AZ129" s="406"/>
      <c r="BA129" s="406"/>
      <c r="BB129" s="406"/>
      <c r="BC129" s="406"/>
      <c r="BD129" s="406"/>
      <c r="BE129" s="406"/>
      <c r="BF129" s="406"/>
      <c r="BG129" s="406"/>
      <c r="BH129" s="406"/>
      <c r="BI129" s="406"/>
      <c r="BJ129" s="406"/>
      <c r="BK129" s="406"/>
      <c r="BL129" s="406"/>
      <c r="BM129" s="406"/>
      <c r="BN129" s="406"/>
      <c r="BO129" s="406"/>
      <c r="BP129" s="406"/>
      <c r="BQ129" s="406"/>
      <c r="BR129" s="406"/>
      <c r="BS129" s="406"/>
      <c r="BT129" s="406"/>
      <c r="BU129" s="406"/>
      <c r="BV129" s="406"/>
      <c r="BW129" s="406"/>
      <c r="BX129" s="406"/>
      <c r="BY129" s="406"/>
      <c r="BZ129" s="406"/>
      <c r="CA129" s="406"/>
      <c r="CB129" s="406"/>
      <c r="CC129" s="406"/>
      <c r="CD129" s="406"/>
      <c r="CE129" s="406"/>
      <c r="CF129" s="406"/>
      <c r="CG129" s="406"/>
      <c r="CH129" s="406"/>
      <c r="CI129" s="406"/>
      <c r="CJ129" s="406"/>
      <c r="CK129" s="406"/>
      <c r="CL129" s="406"/>
      <c r="CM129" s="406"/>
      <c r="CN129" s="406"/>
      <c r="CO129" s="406"/>
      <c r="CP129" s="406"/>
      <c r="CQ129" s="406"/>
      <c r="CR129" s="406"/>
      <c r="CS129" s="406"/>
      <c r="CT129" s="406"/>
      <c r="CU129" s="406"/>
      <c r="CV129" s="406"/>
      <c r="CW129" s="406"/>
      <c r="CX129" s="406"/>
      <c r="CY129" s="406"/>
      <c r="CZ129" s="406"/>
      <c r="DA129" s="406"/>
      <c r="DB129" s="406"/>
      <c r="DC129" s="406"/>
      <c r="DD129" s="406"/>
      <c r="DE129" s="406"/>
      <c r="DF129" s="406"/>
      <c r="DG129" s="406"/>
      <c r="DH129" s="406"/>
      <c r="DI129" s="406"/>
      <c r="DJ129" s="406"/>
      <c r="DK129" s="406"/>
      <c r="DL129" s="406"/>
      <c r="DM129" s="406"/>
      <c r="DN129" s="406"/>
      <c r="DO129" s="406"/>
      <c r="DP129" s="406"/>
      <c r="DQ129" s="406"/>
      <c r="DR129" s="406"/>
      <c r="DS129" s="406"/>
      <c r="DT129" s="406"/>
      <c r="DU129" s="406"/>
      <c r="DV129" s="406"/>
      <c r="DW129" s="406"/>
      <c r="DX129" s="406"/>
      <c r="DY129" s="406"/>
      <c r="DZ129" s="406"/>
      <c r="EA129" s="406"/>
      <c r="EB129" s="406"/>
      <c r="EC129" s="406"/>
      <c r="ED129" s="406"/>
      <c r="EE129" s="406"/>
      <c r="EF129" s="406"/>
      <c r="EG129" s="406"/>
      <c r="EH129" s="406"/>
      <c r="EI129" s="406"/>
      <c r="EJ129" s="406"/>
      <c r="EK129" s="406"/>
      <c r="EL129" s="406"/>
      <c r="EM129" s="406"/>
      <c r="EN129" s="406"/>
      <c r="EO129" s="406"/>
      <c r="EP129" s="406"/>
      <c r="EQ129" s="406"/>
      <c r="ER129" s="406"/>
      <c r="ES129" s="406"/>
      <c r="ET129" s="406"/>
      <c r="EU129" s="406"/>
      <c r="EV129" s="406"/>
      <c r="EW129" s="406"/>
      <c r="EX129" s="406"/>
      <c r="EY129" s="406"/>
      <c r="EZ129" s="406"/>
      <c r="FA129" s="406"/>
      <c r="FB129" s="406"/>
      <c r="FC129" s="406"/>
      <c r="FD129" s="406"/>
      <c r="FE129" s="406"/>
      <c r="FF129" s="406"/>
      <c r="FG129" s="406"/>
      <c r="FH129" s="406"/>
      <c r="FI129" s="406"/>
      <c r="FJ129" s="406"/>
      <c r="FK129" s="406"/>
      <c r="FL129" s="406"/>
      <c r="FM129" s="406"/>
      <c r="FN129" s="406"/>
      <c r="FO129" s="406"/>
      <c r="FP129" s="406"/>
      <c r="FQ129" s="406"/>
      <c r="FR129" s="406"/>
      <c r="FS129" s="406"/>
      <c r="FT129" s="406"/>
      <c r="FU129" s="406"/>
      <c r="FV129" s="406"/>
      <c r="FW129" s="406"/>
      <c r="FX129" s="406"/>
      <c r="FY129" s="406"/>
      <c r="FZ129" s="406"/>
      <c r="GA129" s="406"/>
      <c r="GB129" s="406"/>
      <c r="GC129" s="406"/>
      <c r="GD129" s="406"/>
      <c r="GE129" s="406"/>
      <c r="GF129" s="406"/>
      <c r="GG129" s="406"/>
      <c r="GH129" s="406"/>
      <c r="GI129" s="406"/>
      <c r="GJ129" s="406"/>
      <c r="GK129" s="406"/>
      <c r="GL129" s="406"/>
      <c r="GM129" s="406"/>
      <c r="GN129" s="406"/>
      <c r="GO129" s="406"/>
      <c r="GP129" s="406"/>
      <c r="GQ129" s="406"/>
      <c r="GR129" s="406"/>
      <c r="GS129" s="406"/>
      <c r="GT129" s="406"/>
      <c r="GU129" s="406"/>
      <c r="GV129" s="406"/>
      <c r="GW129" s="406"/>
      <c r="GX129" s="406"/>
      <c r="GY129" s="406"/>
      <c r="GZ129" s="406"/>
      <c r="HA129" s="406"/>
      <c r="HB129" s="406"/>
      <c r="HC129" s="406"/>
      <c r="HD129" s="406"/>
      <c r="HE129" s="406"/>
      <c r="HF129" s="406"/>
      <c r="HG129" s="406"/>
      <c r="HH129" s="406"/>
      <c r="HI129" s="406"/>
      <c r="HJ129" s="406"/>
      <c r="HK129" s="406"/>
      <c r="HL129" s="406"/>
      <c r="HM129" s="406"/>
      <c r="HN129" s="406"/>
      <c r="HO129" s="406"/>
      <c r="HP129" s="406"/>
      <c r="HQ129" s="406"/>
      <c r="HR129" s="406"/>
      <c r="HS129" s="406"/>
      <c r="HT129" s="406"/>
      <c r="HU129" s="406"/>
      <c r="HV129" s="406"/>
      <c r="HW129" s="406"/>
      <c r="HX129" s="406"/>
      <c r="HY129" s="406"/>
      <c r="HZ129" s="406"/>
      <c r="IA129" s="406"/>
      <c r="IB129" s="406"/>
      <c r="IC129" s="406"/>
      <c r="ID129" s="406"/>
      <c r="IE129" s="406"/>
      <c r="IF129" s="406"/>
      <c r="IG129" s="406"/>
      <c r="IH129" s="406"/>
      <c r="II129" s="406"/>
      <c r="IJ129" s="406"/>
      <c r="IK129" s="406"/>
      <c r="IL129" s="406"/>
      <c r="IM129" s="406"/>
      <c r="IN129" s="406"/>
      <c r="IO129" s="406"/>
      <c r="IP129" s="406"/>
      <c r="IQ129" s="406"/>
      <c r="IR129" s="406"/>
      <c r="IS129" s="406"/>
      <c r="IT129" s="406"/>
      <c r="IU129" s="406"/>
      <c r="IV129" s="406"/>
      <c r="IW129" s="406"/>
    </row>
    <row r="130" customFormat="false" ht="12.75" hidden="false" customHeight="true" outlineLevel="0" collapsed="false">
      <c r="A130" s="294" t="s">
        <v>343</v>
      </c>
      <c r="B130" s="294" t="s">
        <v>371</v>
      </c>
      <c r="C130" s="294" t="s">
        <v>5</v>
      </c>
      <c r="D130" s="294" t="s">
        <v>329</v>
      </c>
      <c r="E130" s="359" t="n">
        <v>20747</v>
      </c>
      <c r="F130" s="294" t="s">
        <v>374</v>
      </c>
      <c r="H130" s="378" t="n">
        <v>37315</v>
      </c>
      <c r="I130" s="360" t="n">
        <v>10000</v>
      </c>
      <c r="M130" s="361" t="s">
        <v>373</v>
      </c>
      <c r="N130" s="360" t="n">
        <f aca="false">N116*N$127</f>
        <v>483600</v>
      </c>
      <c r="O130" s="360" t="n">
        <f aca="false">O116*O$127</f>
        <v>459200</v>
      </c>
      <c r="P130" s="360" t="n">
        <f aca="false">P116*P$127</f>
        <v>486700</v>
      </c>
      <c r="Q130" s="360" t="n">
        <f aca="false">Q116*Q$127</f>
        <v>450000</v>
      </c>
      <c r="R130" s="360" t="n">
        <f aca="false">R116*R$127</f>
        <v>449500</v>
      </c>
      <c r="S130" s="360" t="n">
        <f aca="false">S116*S$127</f>
        <v>405000</v>
      </c>
      <c r="T130" s="360" t="n">
        <f aca="false">T116*T$127</f>
        <v>418500</v>
      </c>
      <c r="U130" s="360" t="n">
        <f aca="false">U116*U$127</f>
        <v>542500</v>
      </c>
      <c r="V130" s="360" t="n">
        <f aca="false">V116*V$127</f>
        <v>516000</v>
      </c>
      <c r="W130" s="360" t="n">
        <f aca="false">W116*W$127</f>
        <v>465000</v>
      </c>
      <c r="X130" s="360" t="n">
        <f aca="false">X116*X$127</f>
        <v>336000</v>
      </c>
      <c r="Y130" s="360" t="n">
        <f aca="false">Y116*Y$127</f>
        <v>368900</v>
      </c>
    </row>
    <row r="131" customFormat="false" ht="12.75" hidden="false" customHeight="true" outlineLevel="0" collapsed="false">
      <c r="A131" s="294" t="s">
        <v>343</v>
      </c>
      <c r="B131" s="294" t="s">
        <v>371</v>
      </c>
      <c r="C131" s="294" t="s">
        <v>5</v>
      </c>
      <c r="D131" s="294" t="s">
        <v>329</v>
      </c>
      <c r="E131" s="359" t="n">
        <v>20748</v>
      </c>
      <c r="F131" s="294" t="s">
        <v>374</v>
      </c>
      <c r="H131" s="378" t="n">
        <v>37315</v>
      </c>
      <c r="I131" s="360" t="n">
        <v>10000</v>
      </c>
      <c r="M131" s="361" t="s">
        <v>373</v>
      </c>
      <c r="N131" s="360" t="n">
        <f aca="false">N117*N$127</f>
        <v>483600</v>
      </c>
      <c r="O131" s="360" t="n">
        <f aca="false">O117*O$127</f>
        <v>459200</v>
      </c>
      <c r="Q131" s="360" t="n">
        <f aca="false">Q117*Q$127</f>
        <v>450000</v>
      </c>
      <c r="R131" s="360" t="n">
        <f aca="false">R117*R$127</f>
        <v>449500</v>
      </c>
      <c r="S131" s="360" t="n">
        <f aca="false">S117*S$127</f>
        <v>405000</v>
      </c>
      <c r="T131" s="360" t="n">
        <f aca="false">T117*T$127</f>
        <v>418500</v>
      </c>
      <c r="U131" s="360" t="n">
        <f aca="false">U117*U$127</f>
        <v>542500</v>
      </c>
      <c r="V131" s="360" t="n">
        <f aca="false">V117*V$127</f>
        <v>516000</v>
      </c>
      <c r="W131" s="360" t="n">
        <f aca="false">W117*W$127</f>
        <v>465000</v>
      </c>
      <c r="X131" s="360" t="n">
        <f aca="false">X117*X$127</f>
        <v>336000</v>
      </c>
      <c r="Y131" s="360" t="n">
        <f aca="false">Y117*Y$127</f>
        <v>368900</v>
      </c>
    </row>
    <row r="132" customFormat="false" ht="12.75" hidden="false" customHeight="true" outlineLevel="0" collapsed="false">
      <c r="A132" s="294" t="s">
        <v>343</v>
      </c>
      <c r="B132" s="294" t="s">
        <v>371</v>
      </c>
      <c r="C132" s="294" t="s">
        <v>5</v>
      </c>
      <c r="D132" s="294" t="s">
        <v>329</v>
      </c>
      <c r="E132" s="359" t="n">
        <v>20822</v>
      </c>
      <c r="F132" s="294" t="s">
        <v>375</v>
      </c>
      <c r="H132" s="378" t="n">
        <v>39141</v>
      </c>
      <c r="I132" s="360" t="n">
        <v>25000</v>
      </c>
      <c r="M132" s="361" t="s">
        <v>373</v>
      </c>
      <c r="N132" s="360" t="n">
        <f aca="false">N118*N$127</f>
        <v>1209000</v>
      </c>
      <c r="O132" s="360" t="n">
        <f aca="false">O118*O$127</f>
        <v>1148000</v>
      </c>
      <c r="P132" s="360" t="n">
        <f aca="false">P118*P$127</f>
        <v>1216750</v>
      </c>
      <c r="Q132" s="360" t="n">
        <f aca="false">Q118*Q$127</f>
        <v>1125000</v>
      </c>
      <c r="R132" s="360" t="n">
        <f aca="false">R118*R$127</f>
        <v>1123750</v>
      </c>
      <c r="S132" s="360" t="n">
        <f aca="false">S118*S$127</f>
        <v>1012500</v>
      </c>
      <c r="T132" s="360" t="n">
        <f aca="false">T118*T$127</f>
        <v>1046250</v>
      </c>
      <c r="U132" s="360" t="n">
        <f aca="false">U118*U$127</f>
        <v>1356250</v>
      </c>
      <c r="V132" s="360" t="n">
        <f aca="false">V118*V$127</f>
        <v>1290000</v>
      </c>
      <c r="W132" s="360" t="n">
        <f aca="false">W118*W$127</f>
        <v>1162500</v>
      </c>
      <c r="X132" s="360" t="n">
        <f aca="false">X118*X$127</f>
        <v>840000</v>
      </c>
      <c r="Y132" s="360" t="n">
        <f aca="false">Y118*Y$127</f>
        <v>922250</v>
      </c>
    </row>
    <row r="133" customFormat="false" ht="12.75" hidden="false" customHeight="true" outlineLevel="0" collapsed="false">
      <c r="A133" s="294" t="s">
        <v>343</v>
      </c>
      <c r="B133" s="294" t="s">
        <v>371</v>
      </c>
      <c r="C133" s="294" t="s">
        <v>5</v>
      </c>
      <c r="D133" s="294" t="s">
        <v>329</v>
      </c>
      <c r="E133" s="359" t="n">
        <v>26678</v>
      </c>
      <c r="F133" s="294" t="s">
        <v>376</v>
      </c>
      <c r="H133" s="378" t="n">
        <v>39172</v>
      </c>
      <c r="I133" s="360" t="n">
        <v>25000</v>
      </c>
      <c r="M133" s="361" t="s">
        <v>373</v>
      </c>
      <c r="N133" s="360" t="n">
        <f aca="false">N119*N$127</f>
        <v>1209000</v>
      </c>
      <c r="O133" s="360" t="n">
        <f aca="false">O119*O$127</f>
        <v>1148000</v>
      </c>
      <c r="P133" s="360" t="n">
        <f aca="false">P119*P$127</f>
        <v>1216750</v>
      </c>
      <c r="Q133" s="360" t="n">
        <f aca="false">Q119*Q$127</f>
        <v>1125000</v>
      </c>
      <c r="R133" s="360" t="n">
        <f aca="false">R119*R$127</f>
        <v>1123750</v>
      </c>
      <c r="S133" s="360" t="n">
        <f aca="false">S119*S$127</f>
        <v>1012500</v>
      </c>
      <c r="T133" s="360" t="n">
        <f aca="false">T119*T$127</f>
        <v>1046250</v>
      </c>
      <c r="U133" s="360" t="n">
        <f aca="false">U119*U$127</f>
        <v>1356250</v>
      </c>
      <c r="V133" s="360" t="n">
        <f aca="false">V119*V$127</f>
        <v>1290000</v>
      </c>
      <c r="W133" s="360" t="n">
        <f aca="false">W119*W$127</f>
        <v>1162500</v>
      </c>
      <c r="X133" s="360" t="n">
        <f aca="false">X119*X$127</f>
        <v>840000</v>
      </c>
      <c r="Y133" s="360" t="n">
        <f aca="false">Y119*Y$127</f>
        <v>922250</v>
      </c>
    </row>
    <row r="134" customFormat="false" ht="12.75" hidden="false" customHeight="true" outlineLevel="0" collapsed="false">
      <c r="A134" s="389" t="s">
        <v>343</v>
      </c>
      <c r="B134" s="389" t="s">
        <v>371</v>
      </c>
      <c r="C134" s="389" t="s">
        <v>5</v>
      </c>
      <c r="D134" s="389" t="s">
        <v>329</v>
      </c>
      <c r="E134" s="427" t="n">
        <v>27583</v>
      </c>
      <c r="F134" s="389" t="s">
        <v>377</v>
      </c>
      <c r="G134" s="390" t="n">
        <v>37012</v>
      </c>
      <c r="H134" s="391" t="n">
        <v>37407</v>
      </c>
      <c r="I134" s="392" t="n">
        <v>1300</v>
      </c>
      <c r="R134" s="392" t="n">
        <f aca="false">R120*R$127</f>
        <v>58435</v>
      </c>
      <c r="S134" s="392" t="n">
        <f aca="false">S120*S$127</f>
        <v>52650</v>
      </c>
      <c r="T134" s="392" t="n">
        <f aca="false">T120*T$127</f>
        <v>54405</v>
      </c>
      <c r="U134" s="392" t="n">
        <f aca="false">U120*U$127</f>
        <v>70525</v>
      </c>
      <c r="V134" s="392" t="n">
        <f aca="false">V120*V$127</f>
        <v>67080</v>
      </c>
      <c r="W134" s="392" t="n">
        <f aca="false">W120*W$127</f>
        <v>60450</v>
      </c>
      <c r="X134" s="392" t="n">
        <f aca="false">X120*X$127</f>
        <v>43680</v>
      </c>
      <c r="Y134" s="392" t="n">
        <f aca="false">Y120*Y$127</f>
        <v>47957</v>
      </c>
    </row>
    <row r="135" customFormat="false" ht="12.75" hidden="false" customHeight="true" outlineLevel="0" collapsed="false">
      <c r="A135" s="294" t="s">
        <v>343</v>
      </c>
      <c r="B135" s="294" t="s">
        <v>371</v>
      </c>
      <c r="C135" s="294" t="s">
        <v>5</v>
      </c>
      <c r="D135" s="294" t="s">
        <v>329</v>
      </c>
      <c r="E135" s="359" t="n">
        <v>26372</v>
      </c>
      <c r="F135" s="294" t="s">
        <v>378</v>
      </c>
      <c r="H135" s="378" t="n">
        <v>39172</v>
      </c>
      <c r="I135" s="360" t="n">
        <v>25000</v>
      </c>
      <c r="M135" s="361" t="s">
        <v>373</v>
      </c>
      <c r="N135" s="360" t="n">
        <f aca="false">N121*N$127</f>
        <v>1209000</v>
      </c>
      <c r="O135" s="360" t="n">
        <f aca="false">O121*O$127</f>
        <v>1148000</v>
      </c>
      <c r="P135" s="360" t="n">
        <f aca="false">P121*P$127</f>
        <v>1216750</v>
      </c>
      <c r="Q135" s="360" t="n">
        <f aca="false">Q121*Q$127</f>
        <v>1125000</v>
      </c>
      <c r="R135" s="360" t="n">
        <f aca="false">R121*R$127</f>
        <v>1123750</v>
      </c>
      <c r="S135" s="360" t="n">
        <f aca="false">S121*S$127</f>
        <v>1012500</v>
      </c>
      <c r="T135" s="360" t="n">
        <f aca="false">T121*T$127</f>
        <v>1046250</v>
      </c>
      <c r="U135" s="360" t="n">
        <f aca="false">U121*U$127</f>
        <v>1356250</v>
      </c>
      <c r="V135" s="360" t="n">
        <f aca="false">V121*V$127</f>
        <v>1290000</v>
      </c>
      <c r="W135" s="360" t="n">
        <f aca="false">W121*W$127</f>
        <v>1162500</v>
      </c>
      <c r="X135" s="360" t="n">
        <f aca="false">X121*X$127</f>
        <v>840000</v>
      </c>
      <c r="Y135" s="360" t="n">
        <f aca="false">Y121*Y$127</f>
        <v>922250</v>
      </c>
    </row>
    <row r="136" customFormat="false" ht="12.75" hidden="false" customHeight="true" outlineLevel="0" collapsed="false">
      <c r="A136" s="294" t="s">
        <v>343</v>
      </c>
      <c r="B136" s="294" t="s">
        <v>371</v>
      </c>
      <c r="C136" s="294" t="s">
        <v>5</v>
      </c>
      <c r="D136" s="294" t="s">
        <v>329</v>
      </c>
      <c r="E136" s="359" t="n">
        <v>21165</v>
      </c>
      <c r="F136" s="294" t="s">
        <v>353</v>
      </c>
      <c r="H136" s="378" t="n">
        <v>39172</v>
      </c>
      <c r="I136" s="360" t="n">
        <v>150000</v>
      </c>
      <c r="M136" s="361" t="s">
        <v>373</v>
      </c>
      <c r="N136" s="360" t="n">
        <f aca="false">N122*N$127</f>
        <v>7254000</v>
      </c>
      <c r="O136" s="360" t="n">
        <f aca="false">O122*O$127</f>
        <v>6888000</v>
      </c>
      <c r="P136" s="360" t="n">
        <f aca="false">P122*P$127</f>
        <v>7300500</v>
      </c>
      <c r="Q136" s="360" t="n">
        <f aca="false">Q122*Q$127</f>
        <v>6750000</v>
      </c>
      <c r="R136" s="360" t="n">
        <f aca="false">R122*R$127</f>
        <v>6742500</v>
      </c>
      <c r="S136" s="360" t="n">
        <f aca="false">S122*S$127</f>
        <v>6075000</v>
      </c>
      <c r="T136" s="360" t="n">
        <f aca="false">T122*T$127</f>
        <v>6277500</v>
      </c>
      <c r="U136" s="360" t="n">
        <f aca="false">U122*U$127</f>
        <v>8137500</v>
      </c>
      <c r="V136" s="360" t="n">
        <f aca="false">V122*V$127</f>
        <v>7740000</v>
      </c>
      <c r="W136" s="360" t="n">
        <f aca="false">W122*W$127</f>
        <v>6975000</v>
      </c>
      <c r="X136" s="360" t="n">
        <f aca="false">X122*X$127</f>
        <v>5040000</v>
      </c>
      <c r="Y136" s="360" t="n">
        <f aca="false">Y122*Y$127</f>
        <v>5533500</v>
      </c>
    </row>
    <row r="138" customFormat="false" ht="12.75" hidden="false" customHeight="true" outlineLevel="0" collapsed="false">
      <c r="I138" s="368"/>
      <c r="N138" s="368"/>
      <c r="O138" s="368"/>
      <c r="P138" s="368"/>
      <c r="Q138" s="368"/>
      <c r="R138" s="368"/>
      <c r="S138" s="368"/>
      <c r="T138" s="368"/>
      <c r="U138" s="368"/>
      <c r="V138" s="368"/>
      <c r="W138" s="368"/>
      <c r="X138" s="368"/>
      <c r="Y138" s="368"/>
    </row>
    <row r="139" customFormat="false" ht="12.75" hidden="false" customHeight="true" outlineLevel="0" collapsed="false">
      <c r="I139" s="360" t="n">
        <f aca="false">SUM(I128:I138)</f>
        <v>266300</v>
      </c>
      <c r="N139" s="360" t="n">
        <f aca="false">SUM(N128:N138)</f>
        <v>12815400</v>
      </c>
      <c r="O139" s="360" t="n">
        <f aca="false">SUM(O128:O138)</f>
        <v>12168800</v>
      </c>
      <c r="P139" s="360" t="n">
        <f aca="false">SUM(P128:P138)</f>
        <v>12410850</v>
      </c>
      <c r="Q139" s="360" t="n">
        <f aca="false">SUM(Q128:Q138)</f>
        <v>11925000</v>
      </c>
      <c r="R139" s="360" t="n">
        <f aca="false">SUM(R128:R138)</f>
        <v>11970185</v>
      </c>
      <c r="S139" s="360" t="n">
        <f aca="false">SUM(S128:S138)</f>
        <v>10785150</v>
      </c>
      <c r="T139" s="360" t="n">
        <f aca="false">SUM(T128:T138)</f>
        <v>11144655</v>
      </c>
      <c r="U139" s="360" t="n">
        <f aca="false">SUM(U128:U138)</f>
        <v>14446775</v>
      </c>
      <c r="V139" s="360" t="n">
        <f aca="false">SUM(V128:V138)</f>
        <v>13541080</v>
      </c>
      <c r="W139" s="360" t="n">
        <f aca="false">SUM(W128:W138)</f>
        <v>11862950</v>
      </c>
      <c r="X139" s="360" t="n">
        <f aca="false">SUM(X128:X138)</f>
        <v>8687680</v>
      </c>
      <c r="Y139" s="360" t="n">
        <f aca="false">SUM(Y128:Y138)</f>
        <v>9823807</v>
      </c>
      <c r="Z139" s="417"/>
    </row>
    <row r="142" customFormat="false" ht="12.75" hidden="false" customHeight="true" outlineLevel="0" collapsed="false">
      <c r="A142" s="294" t="s">
        <v>343</v>
      </c>
      <c r="B142" s="294" t="s">
        <v>371</v>
      </c>
      <c r="C142" s="294" t="s">
        <v>6</v>
      </c>
      <c r="D142" s="294" t="s">
        <v>332</v>
      </c>
      <c r="E142" s="359" t="n">
        <v>25924</v>
      </c>
      <c r="F142" s="294" t="s">
        <v>372</v>
      </c>
      <c r="H142" s="378" t="n">
        <v>39141</v>
      </c>
      <c r="K142" s="357" t="n">
        <f aca="false">0.2605+0.0443+0.0053+0.0007</f>
        <v>0.3108</v>
      </c>
      <c r="L142" s="294" t="n">
        <v>0.0269</v>
      </c>
      <c r="M142" s="361" t="s">
        <v>373</v>
      </c>
      <c r="N142" s="360" t="n">
        <f aca="false">N115*$K142</f>
        <v>192696</v>
      </c>
      <c r="O142" s="360" t="n">
        <f aca="false">O115*$K142</f>
        <v>174048</v>
      </c>
      <c r="P142" s="360" t="n">
        <f aca="false">P115*$K142</f>
        <v>192696</v>
      </c>
      <c r="Q142" s="360" t="n">
        <f aca="false">Q115*$K142</f>
        <v>186480</v>
      </c>
      <c r="R142" s="360" t="n">
        <f aca="false">R115*$K142</f>
        <v>192696</v>
      </c>
      <c r="S142" s="360" t="n">
        <f aca="false">S115*$K142</f>
        <v>186480</v>
      </c>
      <c r="T142" s="360" t="n">
        <f aca="false">T115*$K142</f>
        <v>192696</v>
      </c>
      <c r="U142" s="360" t="n">
        <f aca="false">U115*$K142</f>
        <v>192696</v>
      </c>
      <c r="V142" s="360" t="n">
        <f aca="false">V115*$K142</f>
        <v>186480</v>
      </c>
      <c r="W142" s="360" t="n">
        <f aca="false">W115*$K142</f>
        <v>192696</v>
      </c>
      <c r="X142" s="360" t="n">
        <f aca="false">X115*($K142-$K$168+0.0053)</f>
        <v>163080</v>
      </c>
      <c r="Y142" s="360" t="n">
        <f aca="false">Y115*($K142-$K$168+0.0053)</f>
        <v>168516</v>
      </c>
    </row>
    <row r="143" customFormat="false" ht="12.75" hidden="false" customHeight="true" outlineLevel="0" collapsed="false">
      <c r="A143" s="294" t="s">
        <v>343</v>
      </c>
      <c r="B143" s="294" t="s">
        <v>371</v>
      </c>
      <c r="C143" s="294" t="s">
        <v>6</v>
      </c>
      <c r="D143" s="294" t="s">
        <v>332</v>
      </c>
      <c r="E143" s="359" t="n">
        <v>20747</v>
      </c>
      <c r="F143" s="294" t="s">
        <v>374</v>
      </c>
      <c r="H143" s="378" t="n">
        <v>37315</v>
      </c>
      <c r="K143" s="357" t="n">
        <f aca="false">0.2605+0.0369+0.003+0.0052+0.0007</f>
        <v>0.3063</v>
      </c>
      <c r="L143" s="294" t="n">
        <v>0.0269</v>
      </c>
      <c r="M143" s="361" t="s">
        <v>373</v>
      </c>
      <c r="N143" s="360" t="n">
        <f aca="false">N116*$K143</f>
        <v>94953</v>
      </c>
      <c r="O143" s="360" t="n">
        <f aca="false">O116*$K143</f>
        <v>85764</v>
      </c>
      <c r="P143" s="360" t="n">
        <f aca="false">P116*$K143</f>
        <v>94953</v>
      </c>
      <c r="Q143" s="360" t="n">
        <f aca="false">Q116*$K143</f>
        <v>91890</v>
      </c>
      <c r="R143" s="360" t="n">
        <f aca="false">R116*$K143</f>
        <v>94953</v>
      </c>
      <c r="S143" s="360" t="n">
        <f aca="false">S116*$K143</f>
        <v>91890</v>
      </c>
      <c r="T143" s="360" t="n">
        <f aca="false">T116*$K143</f>
        <v>94953</v>
      </c>
      <c r="U143" s="360" t="n">
        <f aca="false">U116*$K143</f>
        <v>94953</v>
      </c>
      <c r="V143" s="360" t="n">
        <f aca="false">V116*$K143</f>
        <v>91890</v>
      </c>
      <c r="W143" s="360" t="n">
        <f aca="false">W116*$K143</f>
        <v>94953</v>
      </c>
      <c r="X143" s="360" t="n">
        <f aca="false">X116*($K143-$K169+0.0053)</f>
        <v>82410</v>
      </c>
      <c r="Y143" s="360" t="n">
        <f aca="false">Y116*($K143-$K169+0.0053)</f>
        <v>85157</v>
      </c>
    </row>
    <row r="144" customFormat="false" ht="12.75" hidden="false" customHeight="true" outlineLevel="0" collapsed="false">
      <c r="A144" s="294" t="s">
        <v>343</v>
      </c>
      <c r="B144" s="294" t="s">
        <v>371</v>
      </c>
      <c r="C144" s="294" t="s">
        <v>6</v>
      </c>
      <c r="D144" s="294" t="s">
        <v>332</v>
      </c>
      <c r="E144" s="359" t="n">
        <v>20748</v>
      </c>
      <c r="F144" s="294" t="s">
        <v>374</v>
      </c>
      <c r="H144" s="378" t="n">
        <v>37315</v>
      </c>
      <c r="K144" s="357" t="n">
        <f aca="false">0.2605+0.002+0.0369+0.0052+0.0007</f>
        <v>0.3053</v>
      </c>
      <c r="L144" s="294" t="n">
        <v>0.0269</v>
      </c>
      <c r="M144" s="361" t="s">
        <v>373</v>
      </c>
      <c r="N144" s="360" t="n">
        <f aca="false">N117*$K144</f>
        <v>94643</v>
      </c>
      <c r="O144" s="360" t="n">
        <f aca="false">O117*$K144</f>
        <v>85484</v>
      </c>
      <c r="P144" s="360" t="n">
        <f aca="false">P117*$K144</f>
        <v>94643</v>
      </c>
      <c r="Q144" s="360" t="n">
        <f aca="false">Q117*$K144</f>
        <v>91590</v>
      </c>
      <c r="R144" s="360" t="n">
        <f aca="false">R117*$K144</f>
        <v>94643</v>
      </c>
      <c r="S144" s="360" t="n">
        <f aca="false">S117*$K144</f>
        <v>91590</v>
      </c>
      <c r="T144" s="360" t="n">
        <f aca="false">T117*$K144</f>
        <v>94643</v>
      </c>
      <c r="U144" s="360" t="n">
        <f aca="false">U117*$K144</f>
        <v>94643</v>
      </c>
      <c r="V144" s="360" t="n">
        <f aca="false">V117*$K144</f>
        <v>91590</v>
      </c>
      <c r="W144" s="360" t="n">
        <f aca="false">W117*$K144</f>
        <v>94643</v>
      </c>
      <c r="X144" s="360" t="n">
        <f aca="false">X117*($K144-$K170+0.0053)</f>
        <v>82110</v>
      </c>
      <c r="Y144" s="360" t="n">
        <f aca="false">Y117*($K144-$K170+0.0053)</f>
        <v>84847</v>
      </c>
    </row>
    <row r="145" customFormat="false" ht="12.75" hidden="false" customHeight="true" outlineLevel="0" collapsed="false">
      <c r="A145" s="294" t="s">
        <v>343</v>
      </c>
      <c r="B145" s="294" t="s">
        <v>371</v>
      </c>
      <c r="C145" s="294" t="s">
        <v>6</v>
      </c>
      <c r="D145" s="294" t="s">
        <v>332</v>
      </c>
      <c r="E145" s="359" t="n">
        <v>20822</v>
      </c>
      <c r="F145" s="294" t="s">
        <v>375</v>
      </c>
      <c r="H145" s="378" t="n">
        <v>39141</v>
      </c>
      <c r="K145" s="357" t="n">
        <f aca="false">0.168+0.0369+0.002+0.0026</f>
        <v>0.2095</v>
      </c>
      <c r="L145" s="294" t="n">
        <v>0.0269</v>
      </c>
      <c r="M145" s="361" t="s">
        <v>373</v>
      </c>
      <c r="N145" s="360" t="n">
        <f aca="false">N118*$K145</f>
        <v>162362.5</v>
      </c>
      <c r="O145" s="360" t="n">
        <f aca="false">O118*$K145</f>
        <v>146650</v>
      </c>
      <c r="P145" s="360" t="n">
        <f aca="false">P118*$K145</f>
        <v>162362.5</v>
      </c>
      <c r="Q145" s="360" t="n">
        <f aca="false">Q118*$K145</f>
        <v>157125</v>
      </c>
      <c r="R145" s="360" t="n">
        <f aca="false">R118*$K145</f>
        <v>162362.5</v>
      </c>
      <c r="S145" s="360" t="n">
        <f aca="false">S118*$K145</f>
        <v>157125</v>
      </c>
      <c r="T145" s="360" t="n">
        <f aca="false">T118*$K145</f>
        <v>162362.5</v>
      </c>
      <c r="U145" s="360" t="n">
        <f aca="false">U118*$K145</f>
        <v>162362.5</v>
      </c>
      <c r="V145" s="360" t="n">
        <f aca="false">V118*$K145</f>
        <v>157125</v>
      </c>
      <c r="W145" s="360" t="n">
        <f aca="false">W118*$K145</f>
        <v>162362.5</v>
      </c>
      <c r="X145" s="360" t="n">
        <f aca="false">X118*($K145-$K$171+0.0035)</f>
        <v>132075</v>
      </c>
      <c r="Y145" s="360" t="n">
        <f aca="false">Y118*($K145-$K$171+0.0035)</f>
        <v>136477.5</v>
      </c>
    </row>
    <row r="146" customFormat="false" ht="12.75" hidden="false" customHeight="true" outlineLevel="0" collapsed="false">
      <c r="A146" s="294" t="s">
        <v>343</v>
      </c>
      <c r="B146" s="294" t="s">
        <v>371</v>
      </c>
      <c r="C146" s="294" t="s">
        <v>6</v>
      </c>
      <c r="D146" s="294" t="s">
        <v>332</v>
      </c>
      <c r="E146" s="359" t="n">
        <v>26678</v>
      </c>
      <c r="F146" s="294" t="s">
        <v>376</v>
      </c>
      <c r="H146" s="378" t="n">
        <v>39172</v>
      </c>
      <c r="K146" s="357" t="n">
        <f aca="false">0.2605+0.003+0.0443+0.0051+0.0007</f>
        <v>0.3136</v>
      </c>
      <c r="L146" s="294" t="n">
        <v>0.0269</v>
      </c>
      <c r="M146" s="361" t="s">
        <v>373</v>
      </c>
      <c r="N146" s="360" t="n">
        <f aca="false">N119*$K146</f>
        <v>243040</v>
      </c>
      <c r="O146" s="360" t="n">
        <f aca="false">O119*$K146</f>
        <v>219520</v>
      </c>
      <c r="P146" s="360" t="n">
        <f aca="false">P119*$K146</f>
        <v>243040</v>
      </c>
      <c r="Q146" s="360" t="n">
        <f aca="false">Q119*$K146</f>
        <v>235200</v>
      </c>
      <c r="R146" s="360" t="n">
        <f aca="false">R119*$K146</f>
        <v>243040</v>
      </c>
      <c r="S146" s="360" t="n">
        <f aca="false">S119*$K146</f>
        <v>235200</v>
      </c>
      <c r="T146" s="360" t="n">
        <f aca="false">T119*$K146</f>
        <v>243040</v>
      </c>
      <c r="U146" s="360" t="n">
        <f aca="false">U119*$K146</f>
        <v>243040</v>
      </c>
      <c r="V146" s="360" t="n">
        <f aca="false">V119*$K146</f>
        <v>235200</v>
      </c>
      <c r="W146" s="360" t="n">
        <f aca="false">W119*$K146</f>
        <v>243040</v>
      </c>
      <c r="X146" s="360" t="n">
        <f aca="false">X119*($K146-$K$172+0.0053)</f>
        <v>205950</v>
      </c>
      <c r="Y146" s="360" t="n">
        <f aca="false">Y119*($K146-$K$172+0.0053)</f>
        <v>212815</v>
      </c>
    </row>
    <row r="147" customFormat="false" ht="12.75" hidden="false" customHeight="true" outlineLevel="0" collapsed="false">
      <c r="A147" s="389" t="s">
        <v>343</v>
      </c>
      <c r="B147" s="389" t="s">
        <v>371</v>
      </c>
      <c r="C147" s="389" t="s">
        <v>6</v>
      </c>
      <c r="D147" s="389" t="s">
        <v>332</v>
      </c>
      <c r="E147" s="427" t="n">
        <v>27583</v>
      </c>
      <c r="F147" s="389" t="s">
        <v>377</v>
      </c>
      <c r="G147" s="390" t="n">
        <v>37012</v>
      </c>
      <c r="H147" s="391" t="n">
        <v>37407</v>
      </c>
      <c r="I147" s="392" t="n">
        <v>1300</v>
      </c>
      <c r="K147" s="419" t="n">
        <v>0.2289</v>
      </c>
      <c r="L147" s="389" t="n">
        <v>0.0153</v>
      </c>
      <c r="R147" s="392" t="n">
        <f aca="false">R120*$K147</f>
        <v>9224.67</v>
      </c>
      <c r="S147" s="392" t="n">
        <f aca="false">S120*$K147</f>
        <v>8927.1</v>
      </c>
      <c r="T147" s="392" t="n">
        <f aca="false">T120*$K147</f>
        <v>9224.67</v>
      </c>
      <c r="U147" s="392" t="n">
        <f aca="false">U120*$K147</f>
        <v>9224.67</v>
      </c>
      <c r="V147" s="392" t="n">
        <f aca="false">V120*$K147</f>
        <v>8927.1</v>
      </c>
      <c r="W147" s="392" t="n">
        <f aca="false">W120*$K147</f>
        <v>9224.67</v>
      </c>
      <c r="X147" s="392" t="n">
        <f aca="false">X120*$K147</f>
        <v>8927.1</v>
      </c>
      <c r="Y147" s="392" t="n">
        <f aca="false">Y120*$K147</f>
        <v>9224.67</v>
      </c>
      <c r="Z147" s="428" t="n">
        <f aca="false">SUM(N147:Y147)</f>
        <v>72904.65</v>
      </c>
    </row>
    <row r="148" customFormat="false" ht="12.75" hidden="false" customHeight="true" outlineLevel="0" collapsed="false">
      <c r="A148" s="294" t="s">
        <v>343</v>
      </c>
      <c r="B148" s="294" t="s">
        <v>371</v>
      </c>
      <c r="C148" s="294" t="s">
        <v>6</v>
      </c>
      <c r="D148" s="294" t="s">
        <v>332</v>
      </c>
      <c r="E148" s="359" t="n">
        <v>26372</v>
      </c>
      <c r="F148" s="294" t="s">
        <v>378</v>
      </c>
      <c r="H148" s="378" t="n">
        <v>39172</v>
      </c>
      <c r="K148" s="357" t="n">
        <f aca="false">0.2605+0.003+0.0443+0.0051+0.0007</f>
        <v>0.3136</v>
      </c>
      <c r="L148" s="294" t="n">
        <v>0.0269</v>
      </c>
      <c r="M148" s="361" t="s">
        <v>373</v>
      </c>
      <c r="N148" s="360" t="n">
        <f aca="false">N121*$K148</f>
        <v>243040</v>
      </c>
      <c r="O148" s="360" t="n">
        <f aca="false">O121*$K148</f>
        <v>219520</v>
      </c>
      <c r="P148" s="360" t="n">
        <f aca="false">P121*$K148</f>
        <v>243040</v>
      </c>
      <c r="Q148" s="360" t="n">
        <f aca="false">Q121*$K148</f>
        <v>235200</v>
      </c>
      <c r="R148" s="360" t="n">
        <f aca="false">R121*$K148</f>
        <v>243040</v>
      </c>
      <c r="S148" s="360" t="n">
        <f aca="false">S121*$K148</f>
        <v>235200</v>
      </c>
      <c r="T148" s="360" t="n">
        <f aca="false">T121*$K148</f>
        <v>243040</v>
      </c>
      <c r="U148" s="360" t="n">
        <f aca="false">U121*$K148</f>
        <v>243040</v>
      </c>
      <c r="V148" s="360" t="n">
        <f aca="false">V121*$K148</f>
        <v>235200</v>
      </c>
      <c r="W148" s="360" t="n">
        <f aca="false">W121*$K148</f>
        <v>243040</v>
      </c>
      <c r="X148" s="360" t="n">
        <f aca="false">X121*($K148-$K$173+0.0053)</f>
        <v>205950</v>
      </c>
      <c r="Y148" s="360" t="n">
        <f aca="false">Y121*($K148-$K$173+0.0053)</f>
        <v>212815</v>
      </c>
    </row>
    <row r="149" customFormat="false" ht="12.75" hidden="false" customHeight="true" outlineLevel="0" collapsed="false">
      <c r="A149" s="294" t="s">
        <v>343</v>
      </c>
      <c r="B149" s="294" t="s">
        <v>371</v>
      </c>
      <c r="C149" s="294" t="s">
        <v>6</v>
      </c>
      <c r="D149" s="294" t="s">
        <v>332</v>
      </c>
      <c r="E149" s="359" t="n">
        <v>21165</v>
      </c>
      <c r="F149" s="294" t="s">
        <v>353</v>
      </c>
      <c r="H149" s="378" t="n">
        <v>39172</v>
      </c>
      <c r="K149" s="357" t="n">
        <f aca="false">0.2605+0.003+0.0443+0.005+0.0007</f>
        <v>0.3135</v>
      </c>
      <c r="L149" s="294" t="n">
        <v>0.0269</v>
      </c>
      <c r="M149" s="361" t="s">
        <v>373</v>
      </c>
      <c r="N149" s="360" t="n">
        <f aca="false">N122*$K149</f>
        <v>1457775</v>
      </c>
      <c r="O149" s="360" t="n">
        <f aca="false">O122*$K149</f>
        <v>1316700</v>
      </c>
      <c r="P149" s="360" t="n">
        <f aca="false">P122*$K149</f>
        <v>1457775</v>
      </c>
      <c r="Q149" s="360" t="n">
        <f aca="false">Q122*$K149</f>
        <v>1410750</v>
      </c>
      <c r="R149" s="360" t="n">
        <f aca="false">R122*$K149</f>
        <v>1457775</v>
      </c>
      <c r="S149" s="360" t="n">
        <f aca="false">S122*$K149</f>
        <v>1410750</v>
      </c>
      <c r="T149" s="360" t="n">
        <f aca="false">T122*$K149</f>
        <v>1457775</v>
      </c>
      <c r="U149" s="360" t="n">
        <f aca="false">U122*$K149</f>
        <v>1457775</v>
      </c>
      <c r="V149" s="360" t="n">
        <f aca="false">V122*$K149</f>
        <v>1410750</v>
      </c>
      <c r="W149" s="360" t="n">
        <f aca="false">W122*$K149</f>
        <v>1457775</v>
      </c>
      <c r="X149" s="360" t="n">
        <f aca="false">X122*($K149-$K$174+0.0053)</f>
        <v>1235250</v>
      </c>
      <c r="Y149" s="360" t="n">
        <f aca="false">Y122*($K149-$K$174+0.0053)</f>
        <v>1276425</v>
      </c>
    </row>
    <row r="151" customFormat="false" ht="12.75" hidden="false" customHeight="true" outlineLevel="0" collapsed="false">
      <c r="I151" s="368"/>
      <c r="N151" s="368"/>
      <c r="O151" s="368"/>
      <c r="P151" s="368"/>
      <c r="Q151" s="368"/>
      <c r="R151" s="368"/>
      <c r="S151" s="368"/>
      <c r="T151" s="368"/>
      <c r="U151" s="368"/>
      <c r="V151" s="368"/>
      <c r="W151" s="368"/>
      <c r="X151" s="368"/>
      <c r="Y151" s="368"/>
    </row>
    <row r="152" customFormat="false" ht="12.75" hidden="false" customHeight="true" outlineLevel="0" collapsed="false">
      <c r="I152" s="360" t="n">
        <f aca="false">SUM(I142:I151)</f>
        <v>1300</v>
      </c>
      <c r="N152" s="360" t="n">
        <f aca="false">SUM(N142:N151)</f>
        <v>2488509.5</v>
      </c>
      <c r="O152" s="360" t="n">
        <f aca="false">SUM(O142:O151)</f>
        <v>2247686</v>
      </c>
      <c r="P152" s="360" t="n">
        <f aca="false">SUM(P142:P151)</f>
        <v>2488509.5</v>
      </c>
      <c r="Q152" s="360" t="n">
        <f aca="false">SUM(Q142:Q151)</f>
        <v>2408235</v>
      </c>
      <c r="R152" s="360" t="n">
        <f aca="false">SUM(R142:R151)</f>
        <v>2497734.17</v>
      </c>
      <c r="S152" s="360" t="n">
        <f aca="false">SUM(S142:S151)</f>
        <v>2417162.1</v>
      </c>
      <c r="T152" s="360" t="n">
        <f aca="false">SUM(T142:T151)</f>
        <v>2497734.17</v>
      </c>
      <c r="U152" s="360" t="n">
        <f aca="false">SUM(U142:U151)</f>
        <v>2497734.17</v>
      </c>
      <c r="V152" s="360" t="n">
        <f aca="false">SUM(V142:V151)</f>
        <v>2417162.1</v>
      </c>
      <c r="W152" s="360" t="n">
        <f aca="false">SUM(W142:W151)</f>
        <v>2497734.17</v>
      </c>
      <c r="X152" s="360" t="n">
        <f aca="false">SUM(X142:X151)</f>
        <v>2115752.1</v>
      </c>
      <c r="Y152" s="360" t="n">
        <f aca="false">SUM(Y142:Y151)</f>
        <v>2186277.17</v>
      </c>
      <c r="Z152" s="417" t="n">
        <f aca="false">SUM(N152:Y152)</f>
        <v>28760230.15</v>
      </c>
    </row>
    <row r="155" customFormat="false" ht="12.75" hidden="false" customHeight="true" outlineLevel="0" collapsed="false">
      <c r="A155" s="294" t="s">
        <v>343</v>
      </c>
      <c r="B155" s="294" t="s">
        <v>371</v>
      </c>
      <c r="C155" s="294" t="s">
        <v>6</v>
      </c>
      <c r="D155" s="294" t="s">
        <v>329</v>
      </c>
      <c r="E155" s="359" t="n">
        <v>25924</v>
      </c>
      <c r="F155" s="294" t="s">
        <v>372</v>
      </c>
      <c r="H155" s="378" t="n">
        <v>39141</v>
      </c>
      <c r="K155" s="357" t="n">
        <f aca="false">0.2605+0.0443+0.0053+0.0007</f>
        <v>0.3108</v>
      </c>
      <c r="L155" s="294" t="n">
        <v>0.0269</v>
      </c>
      <c r="M155" s="361" t="s">
        <v>373</v>
      </c>
      <c r="N155" s="360" t="n">
        <f aca="false">N128*$L155</f>
        <v>26017.68</v>
      </c>
      <c r="O155" s="360" t="n">
        <f aca="false">O128*$L155</f>
        <v>24704.96</v>
      </c>
      <c r="P155" s="360" t="n">
        <f aca="false">P128*$L155</f>
        <v>26184.46</v>
      </c>
      <c r="Q155" s="360" t="n">
        <f aca="false">Q128*$L155</f>
        <v>24210</v>
      </c>
      <c r="R155" s="360" t="n">
        <f aca="false">R128*$L155</f>
        <v>24183.1</v>
      </c>
      <c r="S155" s="360" t="n">
        <f aca="false">S128*$L155</f>
        <v>21789</v>
      </c>
      <c r="T155" s="360" t="n">
        <f aca="false">T128*$L155</f>
        <v>22515.3</v>
      </c>
      <c r="U155" s="360" t="n">
        <f aca="false">U128*$L155</f>
        <v>29186.5</v>
      </c>
      <c r="V155" s="360" t="n">
        <f aca="false">V128*$L155</f>
        <v>27760.8</v>
      </c>
      <c r="W155" s="360" t="n">
        <f aca="false">W128*$L155</f>
        <v>25017</v>
      </c>
      <c r="X155" s="360" t="n">
        <f aca="false">X128*$L155</f>
        <v>18076.8</v>
      </c>
      <c r="Y155" s="360" t="n">
        <f aca="false">Y128*$L155</f>
        <v>19846.82</v>
      </c>
    </row>
    <row r="156" customFormat="false" ht="12.75" hidden="false" customHeight="true" outlineLevel="0" collapsed="false">
      <c r="A156" s="406"/>
      <c r="B156" s="406" t="s">
        <v>364</v>
      </c>
      <c r="C156" s="406" t="s">
        <v>6</v>
      </c>
      <c r="D156" s="406" t="s">
        <v>329</v>
      </c>
      <c r="E156" s="407"/>
      <c r="F156" s="406"/>
      <c r="G156" s="408"/>
      <c r="H156" s="409"/>
      <c r="I156" s="410"/>
      <c r="J156" s="406"/>
      <c r="K156" s="411"/>
      <c r="L156" s="406" t="n">
        <v>0.0175</v>
      </c>
      <c r="M156" s="412"/>
      <c r="N156" s="410"/>
      <c r="O156" s="410"/>
      <c r="P156" s="410"/>
      <c r="Q156" s="410" t="n">
        <f aca="false">Q111*$L156</f>
        <v>0</v>
      </c>
      <c r="R156" s="410" t="n">
        <f aca="false">R111*$L156</f>
        <v>0</v>
      </c>
      <c r="S156" s="410"/>
      <c r="T156" s="410"/>
      <c r="U156" s="410"/>
      <c r="V156" s="410" t="n">
        <f aca="false">V129*$L156</f>
        <v>-3500</v>
      </c>
      <c r="W156" s="410" t="n">
        <f aca="false">W129*$L156</f>
        <v>-9100</v>
      </c>
      <c r="X156" s="410" t="n">
        <f aca="false">X129*$L156</f>
        <v>-4550</v>
      </c>
      <c r="Y156" s="410" t="n">
        <f aca="false">Y129*$L156</f>
        <v>0</v>
      </c>
      <c r="Z156" s="406"/>
      <c r="AA156" s="406"/>
      <c r="AB156" s="406"/>
      <c r="AC156" s="406"/>
      <c r="AD156" s="406"/>
      <c r="AE156" s="406"/>
      <c r="AF156" s="420"/>
      <c r="AG156" s="406"/>
      <c r="AH156" s="406"/>
      <c r="AI156" s="406"/>
      <c r="AJ156" s="406"/>
      <c r="AK156" s="406"/>
      <c r="AL156" s="406"/>
      <c r="AM156" s="406"/>
      <c r="AN156" s="406"/>
      <c r="AO156" s="406"/>
      <c r="AP156" s="406"/>
      <c r="AQ156" s="406"/>
      <c r="AR156" s="406"/>
      <c r="AS156" s="406"/>
      <c r="AT156" s="406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406"/>
      <c r="BW156" s="406"/>
      <c r="BX156" s="406"/>
      <c r="BY156" s="406"/>
      <c r="BZ156" s="406"/>
      <c r="CA156" s="406"/>
      <c r="CB156" s="406"/>
      <c r="CC156" s="406"/>
      <c r="CD156" s="406"/>
      <c r="CE156" s="406"/>
      <c r="CF156" s="406"/>
      <c r="CG156" s="406"/>
      <c r="CH156" s="406"/>
      <c r="CI156" s="406"/>
      <c r="CJ156" s="406"/>
      <c r="CK156" s="406"/>
      <c r="CL156" s="406"/>
      <c r="CM156" s="406"/>
      <c r="CN156" s="406"/>
      <c r="CO156" s="406"/>
      <c r="CP156" s="406"/>
      <c r="CQ156" s="406"/>
      <c r="CR156" s="406"/>
      <c r="CS156" s="406"/>
      <c r="CT156" s="406"/>
      <c r="CU156" s="406"/>
      <c r="CV156" s="406"/>
      <c r="CW156" s="406"/>
      <c r="CX156" s="406"/>
      <c r="CY156" s="406"/>
      <c r="CZ156" s="406"/>
      <c r="DA156" s="406"/>
      <c r="DB156" s="406"/>
      <c r="DC156" s="406"/>
      <c r="DD156" s="406"/>
      <c r="DE156" s="406"/>
      <c r="DF156" s="406"/>
      <c r="DG156" s="406"/>
      <c r="DH156" s="406"/>
      <c r="DI156" s="406"/>
      <c r="DJ156" s="406"/>
      <c r="DK156" s="406"/>
      <c r="DL156" s="406"/>
      <c r="DM156" s="406"/>
      <c r="DN156" s="406"/>
      <c r="DO156" s="406"/>
      <c r="DP156" s="406"/>
      <c r="DQ156" s="406"/>
      <c r="DR156" s="406"/>
      <c r="DS156" s="406"/>
      <c r="DT156" s="406"/>
      <c r="DU156" s="406"/>
      <c r="DV156" s="406"/>
      <c r="DW156" s="406"/>
      <c r="DX156" s="406"/>
      <c r="DY156" s="406"/>
      <c r="DZ156" s="406"/>
      <c r="EA156" s="406"/>
      <c r="EB156" s="406"/>
      <c r="EC156" s="406"/>
      <c r="ED156" s="406"/>
      <c r="EE156" s="406"/>
      <c r="EF156" s="406"/>
      <c r="EG156" s="406"/>
      <c r="EH156" s="406"/>
      <c r="EI156" s="406"/>
      <c r="EJ156" s="406"/>
      <c r="EK156" s="406"/>
      <c r="EL156" s="406"/>
      <c r="EM156" s="406"/>
      <c r="EN156" s="406"/>
      <c r="EO156" s="406"/>
      <c r="EP156" s="406"/>
      <c r="EQ156" s="406"/>
      <c r="ER156" s="406"/>
      <c r="ES156" s="406"/>
      <c r="ET156" s="406"/>
      <c r="EU156" s="406"/>
      <c r="EV156" s="406"/>
      <c r="EW156" s="406"/>
      <c r="EX156" s="406"/>
      <c r="EY156" s="406"/>
      <c r="EZ156" s="406"/>
      <c r="FA156" s="406"/>
      <c r="FB156" s="406"/>
      <c r="FC156" s="406"/>
      <c r="FD156" s="406"/>
      <c r="FE156" s="406"/>
      <c r="FF156" s="406"/>
      <c r="FG156" s="406"/>
      <c r="FH156" s="406"/>
      <c r="FI156" s="406"/>
      <c r="FJ156" s="406"/>
      <c r="FK156" s="406"/>
      <c r="FL156" s="406"/>
      <c r="FM156" s="406"/>
      <c r="FN156" s="406"/>
      <c r="FO156" s="406"/>
      <c r="FP156" s="406"/>
      <c r="FQ156" s="406"/>
      <c r="FR156" s="406"/>
      <c r="FS156" s="406"/>
      <c r="FT156" s="406"/>
      <c r="FU156" s="406"/>
      <c r="FV156" s="406"/>
      <c r="FW156" s="406"/>
      <c r="FX156" s="406"/>
      <c r="FY156" s="406"/>
      <c r="FZ156" s="406"/>
      <c r="GA156" s="406"/>
      <c r="GB156" s="406"/>
      <c r="GC156" s="406"/>
      <c r="GD156" s="406"/>
      <c r="GE156" s="406"/>
      <c r="GF156" s="406"/>
      <c r="GG156" s="406"/>
      <c r="GH156" s="406"/>
      <c r="GI156" s="406"/>
      <c r="GJ156" s="406"/>
      <c r="GK156" s="406"/>
      <c r="GL156" s="406"/>
      <c r="GM156" s="406"/>
      <c r="GN156" s="406"/>
      <c r="GO156" s="406"/>
      <c r="GP156" s="406"/>
      <c r="GQ156" s="406"/>
      <c r="GR156" s="406"/>
      <c r="GS156" s="406"/>
      <c r="GT156" s="406"/>
      <c r="GU156" s="406"/>
      <c r="GV156" s="406"/>
      <c r="GW156" s="406"/>
      <c r="GX156" s="406"/>
      <c r="GY156" s="406"/>
      <c r="GZ156" s="406"/>
      <c r="HA156" s="406"/>
      <c r="HB156" s="406"/>
      <c r="HC156" s="406"/>
      <c r="HD156" s="406"/>
      <c r="HE156" s="406"/>
      <c r="HF156" s="406"/>
      <c r="HG156" s="406"/>
      <c r="HH156" s="406"/>
      <c r="HI156" s="406"/>
      <c r="HJ156" s="406"/>
      <c r="HK156" s="406"/>
      <c r="HL156" s="406"/>
      <c r="HM156" s="406"/>
      <c r="HN156" s="406"/>
      <c r="HO156" s="406"/>
      <c r="HP156" s="406"/>
      <c r="HQ156" s="406"/>
      <c r="HR156" s="406"/>
      <c r="HS156" s="406"/>
      <c r="HT156" s="406"/>
      <c r="HU156" s="406"/>
      <c r="HV156" s="406"/>
      <c r="HW156" s="406"/>
      <c r="HX156" s="406"/>
      <c r="HY156" s="406"/>
      <c r="HZ156" s="406"/>
      <c r="IA156" s="406"/>
      <c r="IB156" s="406"/>
      <c r="IC156" s="406"/>
      <c r="ID156" s="406"/>
      <c r="IE156" s="406"/>
      <c r="IF156" s="406"/>
      <c r="IG156" s="406"/>
      <c r="IH156" s="406"/>
      <c r="II156" s="406"/>
      <c r="IJ156" s="406"/>
      <c r="IK156" s="406"/>
      <c r="IL156" s="406"/>
      <c r="IM156" s="406"/>
      <c r="IN156" s="406"/>
      <c r="IO156" s="406"/>
      <c r="IP156" s="406"/>
      <c r="IQ156" s="406"/>
      <c r="IR156" s="406"/>
      <c r="IS156" s="406"/>
      <c r="IT156" s="406"/>
      <c r="IU156" s="406"/>
      <c r="IV156" s="406"/>
      <c r="IW156" s="406"/>
    </row>
    <row r="157" customFormat="false" ht="12.75" hidden="false" customHeight="true" outlineLevel="0" collapsed="false">
      <c r="A157" s="294" t="s">
        <v>343</v>
      </c>
      <c r="B157" s="294" t="s">
        <v>371</v>
      </c>
      <c r="C157" s="294" t="s">
        <v>6</v>
      </c>
      <c r="D157" s="294" t="s">
        <v>329</v>
      </c>
      <c r="E157" s="359" t="n">
        <v>20747</v>
      </c>
      <c r="F157" s="294" t="s">
        <v>374</v>
      </c>
      <c r="H157" s="378" t="n">
        <v>37315</v>
      </c>
      <c r="K157" s="357" t="n">
        <f aca="false">0.2605+0.0369+0.003+0.0052+0.0007</f>
        <v>0.3063</v>
      </c>
      <c r="L157" s="294" t="n">
        <v>0.0269</v>
      </c>
      <c r="M157" s="361" t="s">
        <v>373</v>
      </c>
      <c r="N157" s="360" t="n">
        <f aca="false">N130*$L157</f>
        <v>13008.84</v>
      </c>
      <c r="O157" s="360" t="n">
        <f aca="false">O130*$L157</f>
        <v>12352.48</v>
      </c>
      <c r="P157" s="360" t="n">
        <f aca="false">P130*$L157</f>
        <v>13092.23</v>
      </c>
      <c r="Q157" s="360" t="n">
        <f aca="false">Q130*$L157</f>
        <v>12105</v>
      </c>
      <c r="R157" s="360" t="n">
        <f aca="false">R130*$L157</f>
        <v>12091.55</v>
      </c>
      <c r="S157" s="360" t="n">
        <f aca="false">S130*$L157</f>
        <v>10894.5</v>
      </c>
      <c r="T157" s="360" t="n">
        <f aca="false">T130*$L157</f>
        <v>11257.65</v>
      </c>
      <c r="U157" s="360" t="n">
        <f aca="false">U130*$L157</f>
        <v>14593.25</v>
      </c>
      <c r="V157" s="360" t="n">
        <f aca="false">V130*$L157</f>
        <v>13880.4</v>
      </c>
      <c r="W157" s="360" t="n">
        <f aca="false">W130*$L157</f>
        <v>12508.5</v>
      </c>
      <c r="X157" s="360" t="n">
        <f aca="false">X130*$L157</f>
        <v>9038.4</v>
      </c>
      <c r="Y157" s="360" t="n">
        <f aca="false">Y130*$L157</f>
        <v>9923.41</v>
      </c>
    </row>
    <row r="158" customFormat="false" ht="12.75" hidden="false" customHeight="true" outlineLevel="0" collapsed="false">
      <c r="A158" s="294" t="s">
        <v>343</v>
      </c>
      <c r="B158" s="294" t="s">
        <v>371</v>
      </c>
      <c r="C158" s="294" t="s">
        <v>6</v>
      </c>
      <c r="D158" s="294" t="s">
        <v>329</v>
      </c>
      <c r="E158" s="359" t="n">
        <v>20748</v>
      </c>
      <c r="F158" s="294" t="s">
        <v>374</v>
      </c>
      <c r="H158" s="378" t="n">
        <v>37315</v>
      </c>
      <c r="K158" s="357" t="n">
        <f aca="false">0.2605+0.002+0.0369+0.0052+0.0007</f>
        <v>0.3053</v>
      </c>
      <c r="L158" s="294" t="n">
        <v>0.0269</v>
      </c>
      <c r="M158" s="361" t="s">
        <v>373</v>
      </c>
      <c r="N158" s="360" t="n">
        <f aca="false">N131*$L158</f>
        <v>13008.84</v>
      </c>
      <c r="O158" s="360" t="n">
        <f aca="false">O131*$L158</f>
        <v>12352.48</v>
      </c>
      <c r="P158" s="360" t="n">
        <f aca="false">P131*$L158</f>
        <v>0</v>
      </c>
      <c r="Q158" s="360" t="n">
        <f aca="false">Q131*$L158</f>
        <v>12105</v>
      </c>
      <c r="R158" s="360" t="n">
        <f aca="false">R131*$L158</f>
        <v>12091.55</v>
      </c>
      <c r="S158" s="360" t="n">
        <f aca="false">S131*$L158</f>
        <v>10894.5</v>
      </c>
      <c r="T158" s="360" t="n">
        <f aca="false">T131*$L158</f>
        <v>11257.65</v>
      </c>
      <c r="U158" s="360" t="n">
        <f aca="false">U131*$L158</f>
        <v>14593.25</v>
      </c>
      <c r="V158" s="360" t="n">
        <f aca="false">V131*$L158</f>
        <v>13880.4</v>
      </c>
      <c r="W158" s="360" t="n">
        <f aca="false">W131*$L158</f>
        <v>12508.5</v>
      </c>
      <c r="X158" s="360" t="n">
        <f aca="false">X131*$L158</f>
        <v>9038.4</v>
      </c>
      <c r="Y158" s="360" t="n">
        <f aca="false">Y131*$L158</f>
        <v>9923.41</v>
      </c>
    </row>
    <row r="159" customFormat="false" ht="12.75" hidden="false" customHeight="true" outlineLevel="0" collapsed="false">
      <c r="A159" s="294" t="s">
        <v>343</v>
      </c>
      <c r="B159" s="294" t="s">
        <v>371</v>
      </c>
      <c r="C159" s="294" t="s">
        <v>6</v>
      </c>
      <c r="D159" s="294" t="s">
        <v>329</v>
      </c>
      <c r="E159" s="359" t="n">
        <v>20822</v>
      </c>
      <c r="F159" s="294" t="s">
        <v>375</v>
      </c>
      <c r="H159" s="378" t="n">
        <v>39141</v>
      </c>
      <c r="K159" s="357" t="n">
        <f aca="false">0.168+0.0369+0.002+0.0026</f>
        <v>0.2095</v>
      </c>
      <c r="L159" s="294" t="n">
        <v>0.0269</v>
      </c>
      <c r="M159" s="361" t="s">
        <v>373</v>
      </c>
      <c r="N159" s="360" t="n">
        <f aca="false">N132*$L159</f>
        <v>32522.1</v>
      </c>
      <c r="O159" s="360" t="n">
        <f aca="false">O132*$L159</f>
        <v>30881.2</v>
      </c>
      <c r="P159" s="360" t="n">
        <f aca="false">P132*$L159</f>
        <v>32730.575</v>
      </c>
      <c r="Q159" s="360" t="n">
        <f aca="false">Q132*$L159</f>
        <v>30262.5</v>
      </c>
      <c r="R159" s="360" t="n">
        <f aca="false">R132*$L159</f>
        <v>30228.875</v>
      </c>
      <c r="S159" s="360" t="n">
        <f aca="false">S132*$L159</f>
        <v>27236.25</v>
      </c>
      <c r="T159" s="360" t="n">
        <f aca="false">T132*$L159</f>
        <v>28144.125</v>
      </c>
      <c r="U159" s="360" t="n">
        <f aca="false">U132*$L159</f>
        <v>36483.125</v>
      </c>
      <c r="V159" s="360" t="n">
        <f aca="false">V132*$L159</f>
        <v>34701</v>
      </c>
      <c r="W159" s="360" t="n">
        <f aca="false">W132*$L159</f>
        <v>31271.25</v>
      </c>
      <c r="X159" s="360" t="n">
        <f aca="false">X132*$L159</f>
        <v>22596</v>
      </c>
      <c r="Y159" s="360" t="n">
        <f aca="false">Y132*$L159</f>
        <v>24808.525</v>
      </c>
    </row>
    <row r="160" customFormat="false" ht="12.75" hidden="false" customHeight="true" outlineLevel="0" collapsed="false">
      <c r="A160" s="294" t="s">
        <v>343</v>
      </c>
      <c r="B160" s="294" t="s">
        <v>371</v>
      </c>
      <c r="C160" s="294" t="s">
        <v>6</v>
      </c>
      <c r="D160" s="294" t="s">
        <v>329</v>
      </c>
      <c r="E160" s="359" t="n">
        <v>26678</v>
      </c>
      <c r="F160" s="294" t="s">
        <v>376</v>
      </c>
      <c r="H160" s="378" t="n">
        <v>39172</v>
      </c>
      <c r="K160" s="357" t="n">
        <f aca="false">0.2605+0.003+0.0443+0.0051+0.0007</f>
        <v>0.3136</v>
      </c>
      <c r="L160" s="294" t="n">
        <v>0.0269</v>
      </c>
      <c r="M160" s="361" t="s">
        <v>373</v>
      </c>
      <c r="N160" s="360" t="n">
        <f aca="false">N133*$L160</f>
        <v>32522.1</v>
      </c>
      <c r="O160" s="360" t="n">
        <f aca="false">O133*$L160</f>
        <v>30881.2</v>
      </c>
      <c r="P160" s="360" t="n">
        <f aca="false">P133*$L160</f>
        <v>32730.575</v>
      </c>
      <c r="Q160" s="360" t="n">
        <f aca="false">Q133*$L160</f>
        <v>30262.5</v>
      </c>
      <c r="R160" s="360" t="n">
        <f aca="false">R133*$L160</f>
        <v>30228.875</v>
      </c>
      <c r="S160" s="360" t="n">
        <f aca="false">S133*$L160</f>
        <v>27236.25</v>
      </c>
      <c r="T160" s="360" t="n">
        <f aca="false">T133*$L160</f>
        <v>28144.125</v>
      </c>
      <c r="U160" s="360" t="n">
        <f aca="false">U133*$L160</f>
        <v>36483.125</v>
      </c>
      <c r="V160" s="360" t="n">
        <f aca="false">V133*$L160</f>
        <v>34701</v>
      </c>
      <c r="W160" s="360" t="n">
        <f aca="false">W133*$L160</f>
        <v>31271.25</v>
      </c>
      <c r="X160" s="360" t="n">
        <f aca="false">X133*$L160</f>
        <v>22596</v>
      </c>
      <c r="Y160" s="360" t="n">
        <f aca="false">Y133*$L160</f>
        <v>24808.525</v>
      </c>
    </row>
    <row r="161" customFormat="false" ht="12.75" hidden="false" customHeight="true" outlineLevel="0" collapsed="false">
      <c r="A161" s="389" t="s">
        <v>343</v>
      </c>
      <c r="B161" s="389" t="s">
        <v>371</v>
      </c>
      <c r="C161" s="389" t="s">
        <v>6</v>
      </c>
      <c r="D161" s="389" t="s">
        <v>329</v>
      </c>
      <c r="E161" s="427" t="n">
        <v>27583</v>
      </c>
      <c r="F161" s="389" t="s">
        <v>377</v>
      </c>
      <c r="G161" s="390" t="n">
        <v>37012</v>
      </c>
      <c r="H161" s="391" t="n">
        <v>37407</v>
      </c>
      <c r="I161" s="392" t="n">
        <v>1300</v>
      </c>
      <c r="K161" s="419" t="n">
        <v>0.2289</v>
      </c>
      <c r="L161" s="389" t="n">
        <v>0.0153</v>
      </c>
      <c r="R161" s="392" t="n">
        <f aca="false">R134*$L161</f>
        <v>894.0555</v>
      </c>
      <c r="S161" s="392" t="n">
        <f aca="false">S134*$L161</f>
        <v>805.545</v>
      </c>
      <c r="T161" s="392" t="n">
        <f aca="false">T134*$L161</f>
        <v>832.3965</v>
      </c>
      <c r="U161" s="392" t="n">
        <f aca="false">U134*$L161</f>
        <v>1079.0325</v>
      </c>
      <c r="V161" s="392" t="n">
        <f aca="false">V134*$L161</f>
        <v>1026.324</v>
      </c>
      <c r="W161" s="392" t="n">
        <f aca="false">W134*$L161</f>
        <v>924.885</v>
      </c>
      <c r="X161" s="392" t="n">
        <f aca="false">X134*$L161</f>
        <v>668.304</v>
      </c>
      <c r="Y161" s="392" t="n">
        <f aca="false">Y134*$L161</f>
        <v>733.7421</v>
      </c>
      <c r="Z161" s="428" t="n">
        <f aca="false">SUM(N161:Y161)</f>
        <v>6964.2846</v>
      </c>
    </row>
    <row r="162" customFormat="false" ht="12.75" hidden="false" customHeight="true" outlineLevel="0" collapsed="false">
      <c r="A162" s="294" t="s">
        <v>343</v>
      </c>
      <c r="B162" s="294" t="s">
        <v>371</v>
      </c>
      <c r="C162" s="294" t="s">
        <v>6</v>
      </c>
      <c r="D162" s="294" t="s">
        <v>329</v>
      </c>
      <c r="E162" s="359" t="n">
        <v>26372</v>
      </c>
      <c r="F162" s="294" t="s">
        <v>378</v>
      </c>
      <c r="H162" s="378" t="n">
        <v>39172</v>
      </c>
      <c r="K162" s="357" t="n">
        <f aca="false">0.2605+0.003+0.0443+0.0051+0.0007</f>
        <v>0.3136</v>
      </c>
      <c r="L162" s="294" t="n">
        <v>0.0269</v>
      </c>
      <c r="M162" s="361" t="s">
        <v>373</v>
      </c>
      <c r="N162" s="360" t="n">
        <f aca="false">N135*$L162</f>
        <v>32522.1</v>
      </c>
      <c r="O162" s="360" t="n">
        <f aca="false">O135*$L162</f>
        <v>30881.2</v>
      </c>
      <c r="P162" s="360" t="n">
        <f aca="false">P135*$L162</f>
        <v>32730.575</v>
      </c>
      <c r="Q162" s="360" t="n">
        <f aca="false">Q135*$L162</f>
        <v>30262.5</v>
      </c>
      <c r="R162" s="360" t="n">
        <f aca="false">R135*$L162</f>
        <v>30228.875</v>
      </c>
      <c r="S162" s="360" t="n">
        <f aca="false">S135*$L162</f>
        <v>27236.25</v>
      </c>
      <c r="T162" s="360" t="n">
        <f aca="false">T135*$L162</f>
        <v>28144.125</v>
      </c>
      <c r="U162" s="360" t="n">
        <f aca="false">U135*$L162</f>
        <v>36483.125</v>
      </c>
      <c r="V162" s="360" t="n">
        <f aca="false">V135*$L162</f>
        <v>34701</v>
      </c>
      <c r="W162" s="360" t="n">
        <f aca="false">W135*$L162</f>
        <v>31271.25</v>
      </c>
      <c r="X162" s="360" t="n">
        <f aca="false">X135*$L162</f>
        <v>22596</v>
      </c>
      <c r="Y162" s="360" t="n">
        <f aca="false">Y135*$L162</f>
        <v>24808.525</v>
      </c>
    </row>
    <row r="163" customFormat="false" ht="12.75" hidden="false" customHeight="true" outlineLevel="0" collapsed="false">
      <c r="A163" s="294" t="s">
        <v>343</v>
      </c>
      <c r="B163" s="294" t="s">
        <v>371</v>
      </c>
      <c r="C163" s="294" t="s">
        <v>6</v>
      </c>
      <c r="D163" s="294" t="s">
        <v>329</v>
      </c>
      <c r="E163" s="359" t="n">
        <v>21165</v>
      </c>
      <c r="F163" s="294" t="s">
        <v>353</v>
      </c>
      <c r="H163" s="378" t="n">
        <v>39172</v>
      </c>
      <c r="K163" s="357" t="n">
        <f aca="false">0.2605+0.003+0.0443+0.005+0.0007</f>
        <v>0.3135</v>
      </c>
      <c r="L163" s="294" t="n">
        <v>0.0269</v>
      </c>
      <c r="M163" s="361" t="s">
        <v>373</v>
      </c>
      <c r="N163" s="360" t="n">
        <f aca="false">N136*$L163</f>
        <v>195132.6</v>
      </c>
      <c r="O163" s="360" t="n">
        <f aca="false">O136*$L163</f>
        <v>185287.2</v>
      </c>
      <c r="P163" s="360" t="n">
        <f aca="false">P136*$L163</f>
        <v>196383.45</v>
      </c>
      <c r="Q163" s="360" t="n">
        <f aca="false">Q136*$L163</f>
        <v>181575</v>
      </c>
      <c r="R163" s="360" t="n">
        <f aca="false">R136*$L163</f>
        <v>181373.25</v>
      </c>
      <c r="S163" s="360" t="n">
        <f aca="false">S136*$L163</f>
        <v>163417.5</v>
      </c>
      <c r="T163" s="360" t="n">
        <f aca="false">T136*$L163</f>
        <v>168864.75</v>
      </c>
      <c r="U163" s="360" t="n">
        <f aca="false">U136*$L163</f>
        <v>218898.75</v>
      </c>
      <c r="V163" s="360" t="n">
        <f aca="false">V136*$L163</f>
        <v>208206</v>
      </c>
      <c r="W163" s="360" t="n">
        <f aca="false">W136*$L163</f>
        <v>187627.5</v>
      </c>
      <c r="X163" s="360" t="n">
        <f aca="false">X136*$L163</f>
        <v>135576</v>
      </c>
      <c r="Y163" s="360" t="n">
        <f aca="false">Y136*$L163</f>
        <v>148851.15</v>
      </c>
    </row>
    <row r="165" customFormat="false" ht="12.75" hidden="false" customHeight="true" outlineLevel="0" collapsed="false">
      <c r="I165" s="368"/>
      <c r="N165" s="368"/>
      <c r="O165" s="368"/>
      <c r="P165" s="368"/>
      <c r="Q165" s="368"/>
      <c r="R165" s="368"/>
      <c r="S165" s="368"/>
      <c r="T165" s="368"/>
      <c r="U165" s="368"/>
      <c r="V165" s="368"/>
      <c r="W165" s="368"/>
      <c r="X165" s="368"/>
      <c r="Y165" s="368"/>
    </row>
    <row r="166" customFormat="false" ht="12.75" hidden="false" customHeight="true" outlineLevel="0" collapsed="false">
      <c r="I166" s="360" t="n">
        <f aca="false">SUM(I155:I165)</f>
        <v>1300</v>
      </c>
      <c r="N166" s="360" t="n">
        <f aca="false">SUM(N155:N165)</f>
        <v>344734.26</v>
      </c>
      <c r="O166" s="360" t="n">
        <f aca="false">SUM(O155:O165)</f>
        <v>327340.72</v>
      </c>
      <c r="P166" s="360" t="n">
        <f aca="false">SUM(P155:P165)</f>
        <v>333851.865</v>
      </c>
      <c r="Q166" s="360" t="n">
        <f aca="false">SUM(Q155:Q165)</f>
        <v>320782.5</v>
      </c>
      <c r="R166" s="360" t="n">
        <f aca="false">SUM(R155:R165)</f>
        <v>321320.1305</v>
      </c>
      <c r="S166" s="360" t="n">
        <f aca="false">SUM(S155:S165)</f>
        <v>289509.795</v>
      </c>
      <c r="T166" s="360" t="n">
        <f aca="false">SUM(T155:T165)</f>
        <v>299160.1215</v>
      </c>
      <c r="U166" s="360" t="n">
        <f aca="false">SUM(U155:U165)</f>
        <v>387800.1575</v>
      </c>
      <c r="V166" s="360" t="n">
        <f aca="false">SUM(V155:V165)</f>
        <v>365356.924</v>
      </c>
      <c r="W166" s="360" t="n">
        <f aca="false">SUM(W155:W165)</f>
        <v>323300.135</v>
      </c>
      <c r="X166" s="360" t="n">
        <f aca="false">SUM(X155:X165)</f>
        <v>235635.904</v>
      </c>
      <c r="Y166" s="360" t="n">
        <f aca="false">SUM(Y155:Y165)</f>
        <v>263704.1071</v>
      </c>
      <c r="Z166" s="417" t="n">
        <f aca="false">SUM(N166:Y166)</f>
        <v>3812496.6196</v>
      </c>
      <c r="AE166" s="417" t="n">
        <f aca="false">Z166</f>
        <v>3812496.6196</v>
      </c>
    </row>
    <row r="168" customFormat="false" ht="12.75" hidden="false" customHeight="true" outlineLevel="0" collapsed="false">
      <c r="A168" s="294" t="s">
        <v>343</v>
      </c>
      <c r="B168" s="294" t="s">
        <v>371</v>
      </c>
      <c r="C168" s="294" t="s">
        <v>368</v>
      </c>
      <c r="E168" s="359" t="n">
        <v>20746</v>
      </c>
      <c r="F168" s="294" t="s">
        <v>380</v>
      </c>
      <c r="I168" s="360" t="n">
        <v>20000</v>
      </c>
      <c r="K168" s="357" t="n">
        <v>0.0443</v>
      </c>
      <c r="N168" s="360" t="n">
        <f aca="false">$I168*$K168*N$1</f>
        <v>27466</v>
      </c>
      <c r="O168" s="360" t="n">
        <f aca="false">$I168*$K168*O$1</f>
        <v>24808</v>
      </c>
      <c r="P168" s="360" t="n">
        <f aca="false">$I168*$K168*P$1</f>
        <v>27466</v>
      </c>
      <c r="Q168" s="360" t="n">
        <f aca="false">$I168*$K168*Q$1</f>
        <v>26580</v>
      </c>
      <c r="R168" s="360" t="n">
        <f aca="false">$I168*$K168*R$1</f>
        <v>27466</v>
      </c>
      <c r="S168" s="360" t="n">
        <f aca="false">$I168*$K168*S$1</f>
        <v>26580</v>
      </c>
      <c r="T168" s="360" t="n">
        <f aca="false">$I168*$K168*T$1</f>
        <v>27466</v>
      </c>
      <c r="U168" s="360" t="n">
        <f aca="false">$I168*$K168*U$1</f>
        <v>27466</v>
      </c>
      <c r="V168" s="360" t="n">
        <f aca="false">$I168*$K168*V$1</f>
        <v>26580</v>
      </c>
      <c r="W168" s="360" t="n">
        <f aca="false">$I168*$K168*W$1</f>
        <v>27466</v>
      </c>
    </row>
    <row r="169" customFormat="false" ht="12.75" hidden="false" customHeight="true" outlineLevel="0" collapsed="false">
      <c r="A169" s="294" t="s">
        <v>343</v>
      </c>
      <c r="B169" s="294" t="s">
        <v>371</v>
      </c>
      <c r="C169" s="294" t="s">
        <v>368</v>
      </c>
      <c r="E169" s="359" t="n">
        <v>20747</v>
      </c>
      <c r="F169" s="294" t="s">
        <v>374</v>
      </c>
      <c r="I169" s="360" t="n">
        <v>10000</v>
      </c>
      <c r="K169" s="357" t="n">
        <v>0.0369</v>
      </c>
      <c r="N169" s="360" t="n">
        <f aca="false">$I169*$K169*N$1</f>
        <v>11439</v>
      </c>
      <c r="O169" s="360" t="n">
        <f aca="false">$I169*$K169*O$1</f>
        <v>10332</v>
      </c>
      <c r="P169" s="360" t="n">
        <f aca="false">$I169*$K169*P$1</f>
        <v>11439</v>
      </c>
      <c r="Q169" s="360" t="n">
        <f aca="false">$I169*$K169*Q$1</f>
        <v>11070</v>
      </c>
      <c r="R169" s="360" t="n">
        <f aca="false">$I169*$K169*R$1</f>
        <v>11439</v>
      </c>
      <c r="S169" s="360" t="n">
        <f aca="false">$I169*$K169*S$1</f>
        <v>11070</v>
      </c>
      <c r="T169" s="360" t="n">
        <f aca="false">$I169*$K169*T$1</f>
        <v>11439</v>
      </c>
      <c r="U169" s="360" t="n">
        <f aca="false">$I169*$K169*U$1</f>
        <v>11439</v>
      </c>
      <c r="V169" s="360" t="n">
        <f aca="false">$I169*$K169*V$1</f>
        <v>11070</v>
      </c>
      <c r="W169" s="360" t="n">
        <f aca="false">$I169*$K169*W$1</f>
        <v>11439</v>
      </c>
    </row>
    <row r="170" customFormat="false" ht="12.75" hidden="false" customHeight="true" outlineLevel="0" collapsed="false">
      <c r="A170" s="294" t="s">
        <v>343</v>
      </c>
      <c r="B170" s="294" t="s">
        <v>371</v>
      </c>
      <c r="C170" s="294" t="s">
        <v>368</v>
      </c>
      <c r="E170" s="359" t="n">
        <v>20748</v>
      </c>
      <c r="F170" s="294" t="s">
        <v>374</v>
      </c>
      <c r="I170" s="360" t="n">
        <v>10000</v>
      </c>
      <c r="K170" s="357" t="n">
        <v>0.0369</v>
      </c>
      <c r="N170" s="360" t="n">
        <f aca="false">$I170*$K170*N$1</f>
        <v>11439</v>
      </c>
      <c r="O170" s="360" t="n">
        <f aca="false">$I170*$K170*O$1</f>
        <v>10332</v>
      </c>
      <c r="P170" s="360" t="n">
        <f aca="false">$I170*$K170*P$1</f>
        <v>11439</v>
      </c>
      <c r="Q170" s="360" t="n">
        <f aca="false">$I170*$K170*Q$1</f>
        <v>11070</v>
      </c>
      <c r="R170" s="360" t="n">
        <f aca="false">$I170*$K170*R$1</f>
        <v>11439</v>
      </c>
      <c r="S170" s="360" t="n">
        <f aca="false">$I170*$K170*S$1</f>
        <v>11070</v>
      </c>
      <c r="T170" s="360" t="n">
        <f aca="false">$I170*$K170*T$1</f>
        <v>11439</v>
      </c>
      <c r="U170" s="360" t="n">
        <f aca="false">$I170*$K170*U$1</f>
        <v>11439</v>
      </c>
      <c r="V170" s="360" t="n">
        <f aca="false">$I170*$K170*V$1</f>
        <v>11070</v>
      </c>
      <c r="W170" s="360" t="n">
        <f aca="false">$I170*$K170*W$1</f>
        <v>11439</v>
      </c>
    </row>
    <row r="171" customFormat="false" ht="12.75" hidden="false" customHeight="true" outlineLevel="0" collapsed="false">
      <c r="A171" s="294" t="s">
        <v>343</v>
      </c>
      <c r="B171" s="294" t="s">
        <v>371</v>
      </c>
      <c r="C171" s="294" t="s">
        <v>368</v>
      </c>
      <c r="E171" s="359" t="n">
        <v>20822</v>
      </c>
      <c r="F171" s="294" t="s">
        <v>375</v>
      </c>
      <c r="I171" s="360" t="n">
        <v>25000</v>
      </c>
      <c r="K171" s="357" t="n">
        <v>0.0369</v>
      </c>
      <c r="N171" s="360" t="n">
        <f aca="false">$I171*$K171*N$1</f>
        <v>28597.5</v>
      </c>
      <c r="O171" s="360" t="n">
        <f aca="false">$I171*$K171*O$1</f>
        <v>25830</v>
      </c>
      <c r="P171" s="360" t="n">
        <f aca="false">$I171*$K171*P$1</f>
        <v>28597.5</v>
      </c>
      <c r="Q171" s="360" t="n">
        <f aca="false">$I171*$K171*Q$1</f>
        <v>27675</v>
      </c>
      <c r="R171" s="360" t="n">
        <f aca="false">$I171*$K171*R$1</f>
        <v>28597.5</v>
      </c>
      <c r="S171" s="360" t="n">
        <f aca="false">$I171*$K171*S$1</f>
        <v>27675</v>
      </c>
      <c r="T171" s="360" t="n">
        <f aca="false">$I171*$K171*T$1</f>
        <v>28597.5</v>
      </c>
      <c r="U171" s="360" t="n">
        <f aca="false">$I171*$K171*U$1</f>
        <v>28597.5</v>
      </c>
      <c r="V171" s="360" t="n">
        <f aca="false">$I171*$K171*V$1</f>
        <v>27675</v>
      </c>
      <c r="W171" s="360" t="n">
        <f aca="false">$I171*$K171*W$1</f>
        <v>28597.5</v>
      </c>
    </row>
    <row r="172" customFormat="false" ht="12.75" hidden="false" customHeight="true" outlineLevel="0" collapsed="false">
      <c r="A172" s="294" t="s">
        <v>343</v>
      </c>
      <c r="B172" s="294" t="s">
        <v>371</v>
      </c>
      <c r="C172" s="294" t="s">
        <v>368</v>
      </c>
      <c r="E172" s="359" t="n">
        <v>26678</v>
      </c>
      <c r="F172" s="294" t="s">
        <v>376</v>
      </c>
      <c r="I172" s="360" t="n">
        <v>25000</v>
      </c>
      <c r="K172" s="357" t="n">
        <v>0.0443</v>
      </c>
      <c r="N172" s="360" t="n">
        <f aca="false">$I172*$K172*N$1</f>
        <v>34332.5</v>
      </c>
      <c r="O172" s="360" t="n">
        <f aca="false">$I172*$K172*O$1</f>
        <v>31010</v>
      </c>
      <c r="P172" s="360" t="n">
        <f aca="false">$I172*$K172*P$1</f>
        <v>34332.5</v>
      </c>
      <c r="Q172" s="360" t="n">
        <f aca="false">$I172*$K172*Q$1</f>
        <v>33225</v>
      </c>
      <c r="R172" s="360" t="n">
        <f aca="false">$I172*$K172*R$1</f>
        <v>34332.5</v>
      </c>
      <c r="S172" s="360" t="n">
        <f aca="false">$I172*$K172*S$1</f>
        <v>33225</v>
      </c>
      <c r="T172" s="360" t="n">
        <f aca="false">$I172*$K172*T$1</f>
        <v>34332.5</v>
      </c>
      <c r="U172" s="360" t="n">
        <f aca="false">$I172*$K172*U$1</f>
        <v>34332.5</v>
      </c>
      <c r="V172" s="360" t="n">
        <f aca="false">$I172*$K172*V$1</f>
        <v>33225</v>
      </c>
      <c r="W172" s="360" t="n">
        <f aca="false">$I172*$K172*W$1</f>
        <v>34332.5</v>
      </c>
    </row>
    <row r="173" customFormat="false" ht="12.75" hidden="false" customHeight="true" outlineLevel="0" collapsed="false">
      <c r="A173" s="294" t="s">
        <v>343</v>
      </c>
      <c r="B173" s="294" t="s">
        <v>371</v>
      </c>
      <c r="C173" s="294" t="s">
        <v>368</v>
      </c>
      <c r="E173" s="359" t="n">
        <v>26372</v>
      </c>
      <c r="F173" s="294" t="s">
        <v>378</v>
      </c>
      <c r="I173" s="360" t="n">
        <v>25000</v>
      </c>
      <c r="K173" s="357" t="n">
        <v>0.0443</v>
      </c>
      <c r="N173" s="360" t="n">
        <f aca="false">$I173*$K173*N$1</f>
        <v>34332.5</v>
      </c>
      <c r="O173" s="360" t="n">
        <f aca="false">$I173*$K173*O$1</f>
        <v>31010</v>
      </c>
      <c r="P173" s="360" t="n">
        <f aca="false">$I173*$K173*P$1</f>
        <v>34332.5</v>
      </c>
      <c r="Q173" s="360" t="n">
        <f aca="false">$I173*$K173*Q$1</f>
        <v>33225</v>
      </c>
      <c r="R173" s="360" t="n">
        <f aca="false">$I173*$K173*R$1</f>
        <v>34332.5</v>
      </c>
      <c r="S173" s="360" t="n">
        <f aca="false">$I173*$K173*S$1</f>
        <v>33225</v>
      </c>
      <c r="T173" s="360" t="n">
        <f aca="false">$I173*$K173*T$1</f>
        <v>34332.5</v>
      </c>
      <c r="U173" s="360" t="n">
        <f aca="false">$I173*$K173*U$1</f>
        <v>34332.5</v>
      </c>
      <c r="V173" s="360" t="n">
        <f aca="false">$I173*$K173*V$1</f>
        <v>33225</v>
      </c>
      <c r="W173" s="360" t="n">
        <f aca="false">$I173*$K173*W$1</f>
        <v>34332.5</v>
      </c>
    </row>
    <row r="174" customFormat="false" ht="12.75" hidden="false" customHeight="true" outlineLevel="0" collapsed="false">
      <c r="A174" s="294" t="s">
        <v>343</v>
      </c>
      <c r="B174" s="294" t="s">
        <v>371</v>
      </c>
      <c r="C174" s="294" t="s">
        <v>368</v>
      </c>
      <c r="E174" s="359" t="n">
        <v>21165</v>
      </c>
      <c r="F174" s="294" t="s">
        <v>353</v>
      </c>
      <c r="I174" s="360" t="n">
        <v>150000</v>
      </c>
      <c r="K174" s="357" t="n">
        <v>0.0443</v>
      </c>
      <c r="N174" s="360" t="n">
        <f aca="false">$I174*$K174*N$1</f>
        <v>205995</v>
      </c>
      <c r="O174" s="360" t="n">
        <f aca="false">$I174*$K174*O$1</f>
        <v>186060</v>
      </c>
      <c r="P174" s="360" t="n">
        <f aca="false">$I174*$K174*P$1</f>
        <v>205995</v>
      </c>
      <c r="Q174" s="360" t="n">
        <f aca="false">$I174*$K174*Q$1</f>
        <v>199350</v>
      </c>
      <c r="R174" s="360" t="n">
        <f aca="false">$I174*$K174*R$1</f>
        <v>205995</v>
      </c>
      <c r="S174" s="360" t="n">
        <f aca="false">$I174*$K174*S$1</f>
        <v>199350</v>
      </c>
      <c r="T174" s="360" t="n">
        <f aca="false">$I174*$K174*T$1</f>
        <v>205995</v>
      </c>
      <c r="U174" s="360" t="n">
        <f aca="false">$I174*$K174*U$1</f>
        <v>205995</v>
      </c>
      <c r="V174" s="360" t="n">
        <f aca="false">$I174*$K174*V$1</f>
        <v>199350</v>
      </c>
      <c r="W174" s="360" t="n">
        <f aca="false">$I174*$K174*W$1</f>
        <v>205995</v>
      </c>
    </row>
    <row r="176" customFormat="false" ht="12.75" hidden="false" customHeight="true" outlineLevel="0" collapsed="false">
      <c r="N176" s="368"/>
      <c r="O176" s="368"/>
      <c r="P176" s="368"/>
      <c r="Q176" s="368"/>
      <c r="R176" s="368"/>
      <c r="S176" s="368"/>
      <c r="T176" s="368"/>
      <c r="U176" s="368"/>
      <c r="V176" s="368"/>
      <c r="W176" s="368"/>
      <c r="X176" s="368"/>
      <c r="Y176" s="368"/>
    </row>
    <row r="177" customFormat="false" ht="12.75" hidden="false" customHeight="true" outlineLevel="0" collapsed="false">
      <c r="N177" s="360" t="n">
        <f aca="false">SUM(N168:N176)</f>
        <v>353601.5</v>
      </c>
      <c r="O177" s="360" t="n">
        <f aca="false">SUM(O168:O176)</f>
        <v>319382</v>
      </c>
      <c r="P177" s="360" t="n">
        <f aca="false">SUM(P168:P176)</f>
        <v>353601.5</v>
      </c>
      <c r="Q177" s="360" t="n">
        <f aca="false">SUM(Q168:Q176)</f>
        <v>342195</v>
      </c>
      <c r="R177" s="360" t="n">
        <f aca="false">SUM(R168:R176)</f>
        <v>353601.5</v>
      </c>
      <c r="S177" s="360" t="n">
        <f aca="false">SUM(S168:S176)</f>
        <v>342195</v>
      </c>
      <c r="T177" s="360" t="n">
        <f aca="false">SUM(T168:T176)</f>
        <v>353601.5</v>
      </c>
      <c r="U177" s="360" t="n">
        <f aca="false">SUM(U168:U176)</f>
        <v>353601.5</v>
      </c>
      <c r="V177" s="360" t="n">
        <f aca="false">SUM(V168:V176)</f>
        <v>342195</v>
      </c>
      <c r="W177" s="360" t="n">
        <f aca="false">SUM(W168:W176)</f>
        <v>353601.5</v>
      </c>
      <c r="X177" s="360" t="n">
        <f aca="false">SUM(X168:X176)</f>
        <v>0</v>
      </c>
      <c r="Y177" s="360" t="n">
        <f aca="false">SUM(Y168:Y176)</f>
        <v>0</v>
      </c>
      <c r="Z177" s="417" t="n">
        <f aca="false">SUM(N177:Y177)</f>
        <v>3467576</v>
      </c>
    </row>
    <row r="179" customFormat="false" ht="12.75" hidden="false" customHeight="true" outlineLevel="0" collapsed="false">
      <c r="A179" s="294" t="s">
        <v>343</v>
      </c>
      <c r="B179" s="294" t="s">
        <v>371</v>
      </c>
      <c r="C179" s="294" t="s">
        <v>369</v>
      </c>
      <c r="E179" s="359" t="n">
        <v>20747</v>
      </c>
      <c r="F179" s="294" t="s">
        <v>374</v>
      </c>
      <c r="H179" s="378" t="n">
        <v>37315</v>
      </c>
      <c r="I179" s="360" t="n">
        <v>10000</v>
      </c>
      <c r="K179" s="357" t="n">
        <v>0.003</v>
      </c>
      <c r="N179" s="360" t="n">
        <f aca="false">N116*$K179</f>
        <v>930</v>
      </c>
      <c r="O179" s="360" t="n">
        <f aca="false">O116*$K179</f>
        <v>840</v>
      </c>
      <c r="P179" s="360" t="n">
        <f aca="false">P116*$K179</f>
        <v>930</v>
      </c>
      <c r="Q179" s="360" t="n">
        <f aca="false">Q116*$K179</f>
        <v>900</v>
      </c>
      <c r="R179" s="360" t="n">
        <f aca="false">R116*$K179</f>
        <v>930</v>
      </c>
      <c r="S179" s="360" t="n">
        <f aca="false">S116*$K179</f>
        <v>900</v>
      </c>
      <c r="T179" s="360" t="n">
        <f aca="false">T116*$K179</f>
        <v>930</v>
      </c>
      <c r="U179" s="360" t="n">
        <f aca="false">U116*$K179</f>
        <v>930</v>
      </c>
      <c r="V179" s="360" t="n">
        <f aca="false">V116*$K179</f>
        <v>900</v>
      </c>
      <c r="W179" s="360" t="n">
        <f aca="false">W116*$K179</f>
        <v>930</v>
      </c>
      <c r="X179" s="360" t="n">
        <f aca="false">X116*$K179</f>
        <v>900</v>
      </c>
      <c r="Y179" s="360" t="n">
        <f aca="false">Y116*$K179</f>
        <v>930</v>
      </c>
      <c r="AA179" s="360"/>
    </row>
    <row r="180" customFormat="false" ht="12.75" hidden="false" customHeight="true" outlineLevel="0" collapsed="false">
      <c r="A180" s="294" t="s">
        <v>343</v>
      </c>
      <c r="B180" s="294" t="s">
        <v>371</v>
      </c>
      <c r="C180" s="294" t="s">
        <v>369</v>
      </c>
      <c r="E180" s="359" t="n">
        <v>20748</v>
      </c>
      <c r="F180" s="294" t="s">
        <v>374</v>
      </c>
      <c r="H180" s="378" t="n">
        <v>37315</v>
      </c>
      <c r="I180" s="360" t="n">
        <v>10000</v>
      </c>
      <c r="K180" s="357" t="n">
        <v>0.002</v>
      </c>
      <c r="N180" s="360" t="n">
        <f aca="false">N117*$K180</f>
        <v>620</v>
      </c>
      <c r="O180" s="360" t="n">
        <f aca="false">O117*$K180</f>
        <v>560</v>
      </c>
      <c r="P180" s="360" t="n">
        <f aca="false">P117*$K180</f>
        <v>620</v>
      </c>
      <c r="Q180" s="360" t="n">
        <f aca="false">Q117*$K180</f>
        <v>600</v>
      </c>
      <c r="R180" s="360" t="n">
        <f aca="false">R117*$K180</f>
        <v>620</v>
      </c>
      <c r="S180" s="360" t="n">
        <f aca="false">S117*$K180</f>
        <v>600</v>
      </c>
      <c r="T180" s="360" t="n">
        <f aca="false">T117*$K180</f>
        <v>620</v>
      </c>
      <c r="U180" s="360" t="n">
        <f aca="false">U117*$K180</f>
        <v>620</v>
      </c>
      <c r="V180" s="360" t="n">
        <f aca="false">V117*$K180</f>
        <v>600</v>
      </c>
      <c r="W180" s="360" t="n">
        <f aca="false">W117*$K180</f>
        <v>620</v>
      </c>
      <c r="X180" s="360" t="n">
        <f aca="false">X117*$K180</f>
        <v>600</v>
      </c>
      <c r="Y180" s="360" t="n">
        <f aca="false">Y117*$K180</f>
        <v>620</v>
      </c>
      <c r="AA180" s="360"/>
    </row>
    <row r="181" customFormat="false" ht="12.75" hidden="false" customHeight="true" outlineLevel="0" collapsed="false">
      <c r="A181" s="294" t="s">
        <v>343</v>
      </c>
      <c r="B181" s="294" t="s">
        <v>371</v>
      </c>
      <c r="C181" s="294" t="s">
        <v>369</v>
      </c>
      <c r="E181" s="359" t="n">
        <v>20822</v>
      </c>
      <c r="F181" s="294" t="s">
        <v>375</v>
      </c>
      <c r="H181" s="378" t="n">
        <v>39141</v>
      </c>
      <c r="I181" s="360" t="n">
        <v>25000</v>
      </c>
      <c r="K181" s="357" t="n">
        <v>0.002</v>
      </c>
      <c r="N181" s="360" t="n">
        <f aca="false">N118*$K181</f>
        <v>1550</v>
      </c>
      <c r="O181" s="360" t="n">
        <f aca="false">O118*$K181</f>
        <v>1400</v>
      </c>
      <c r="P181" s="360" t="n">
        <f aca="false">P118*$K181</f>
        <v>1550</v>
      </c>
      <c r="Q181" s="360" t="n">
        <f aca="false">Q118*$K181</f>
        <v>1500</v>
      </c>
      <c r="R181" s="360" t="n">
        <f aca="false">R118*$K181</f>
        <v>1550</v>
      </c>
      <c r="S181" s="360" t="n">
        <f aca="false">S118*$K181</f>
        <v>1500</v>
      </c>
      <c r="T181" s="360" t="n">
        <f aca="false">T118*$K181</f>
        <v>1550</v>
      </c>
      <c r="U181" s="360" t="n">
        <f aca="false">U118*$K181</f>
        <v>1550</v>
      </c>
      <c r="V181" s="360" t="n">
        <f aca="false">V118*$K181</f>
        <v>1500</v>
      </c>
      <c r="W181" s="360" t="n">
        <f aca="false">W118*$K181</f>
        <v>1550</v>
      </c>
      <c r="X181" s="360" t="n">
        <f aca="false">X118*$K181</f>
        <v>1500</v>
      </c>
      <c r="Y181" s="360" t="n">
        <f aca="false">Y118*$K181</f>
        <v>1550</v>
      </c>
      <c r="AA181" s="360"/>
      <c r="AB181" s="417"/>
    </row>
    <row r="182" customFormat="false" ht="12.75" hidden="false" customHeight="true" outlineLevel="0" collapsed="false">
      <c r="A182" s="294" t="s">
        <v>343</v>
      </c>
      <c r="B182" s="294" t="s">
        <v>371</v>
      </c>
      <c r="C182" s="294" t="s">
        <v>369</v>
      </c>
      <c r="E182" s="359" t="n">
        <v>26678</v>
      </c>
      <c r="F182" s="294" t="s">
        <v>376</v>
      </c>
      <c r="H182" s="378" t="n">
        <v>39172</v>
      </c>
      <c r="I182" s="360" t="n">
        <v>25000</v>
      </c>
      <c r="K182" s="357" t="n">
        <v>0.003</v>
      </c>
      <c r="N182" s="360" t="n">
        <f aca="false">N119*$K182</f>
        <v>2325</v>
      </c>
      <c r="O182" s="360" t="n">
        <f aca="false">O119*$K182</f>
        <v>2100</v>
      </c>
      <c r="P182" s="360" t="n">
        <f aca="false">P119*$K182</f>
        <v>2325</v>
      </c>
      <c r="Q182" s="360" t="n">
        <f aca="false">Q119*$K182</f>
        <v>2250</v>
      </c>
      <c r="R182" s="360" t="n">
        <f aca="false">R119*$K182</f>
        <v>2325</v>
      </c>
      <c r="S182" s="360" t="n">
        <f aca="false">S119*$K182</f>
        <v>2250</v>
      </c>
      <c r="T182" s="360" t="n">
        <f aca="false">T119*$K182</f>
        <v>2325</v>
      </c>
      <c r="U182" s="360" t="n">
        <f aca="false">U119*$K182</f>
        <v>2325</v>
      </c>
      <c r="V182" s="360" t="n">
        <f aca="false">V119*$K182</f>
        <v>2250</v>
      </c>
      <c r="W182" s="360" t="n">
        <f aca="false">W119*$K182</f>
        <v>2325</v>
      </c>
      <c r="X182" s="360" t="n">
        <f aca="false">X119*$K182</f>
        <v>2250</v>
      </c>
      <c r="Y182" s="360" t="n">
        <f aca="false">Y119*$K182</f>
        <v>2325</v>
      </c>
      <c r="AA182" s="360"/>
    </row>
    <row r="183" customFormat="false" ht="12.75" hidden="false" customHeight="true" outlineLevel="0" collapsed="false">
      <c r="A183" s="294" t="s">
        <v>343</v>
      </c>
      <c r="B183" s="294" t="s">
        <v>371</v>
      </c>
      <c r="C183" s="294" t="s">
        <v>369</v>
      </c>
      <c r="E183" s="359" t="n">
        <v>26372</v>
      </c>
      <c r="F183" s="294" t="s">
        <v>378</v>
      </c>
      <c r="H183" s="378" t="n">
        <v>39172</v>
      </c>
      <c r="I183" s="360" t="n">
        <v>25000</v>
      </c>
      <c r="K183" s="357" t="n">
        <v>0.003</v>
      </c>
      <c r="N183" s="360" t="n">
        <f aca="false">N119*$K183</f>
        <v>2325</v>
      </c>
      <c r="O183" s="360" t="n">
        <f aca="false">O119*$K183</f>
        <v>2100</v>
      </c>
      <c r="P183" s="360" t="n">
        <f aca="false">P119*$K183</f>
        <v>2325</v>
      </c>
      <c r="Q183" s="360" t="n">
        <f aca="false">Q119*$K183</f>
        <v>2250</v>
      </c>
      <c r="R183" s="360" t="n">
        <f aca="false">R119*$K183</f>
        <v>2325</v>
      </c>
      <c r="S183" s="360" t="n">
        <f aca="false">S119*$K183</f>
        <v>2250</v>
      </c>
      <c r="T183" s="360" t="n">
        <f aca="false">T119*$K183</f>
        <v>2325</v>
      </c>
      <c r="U183" s="360" t="n">
        <f aca="false">U119*$K183</f>
        <v>2325</v>
      </c>
      <c r="V183" s="360" t="n">
        <f aca="false">V119*$K183</f>
        <v>2250</v>
      </c>
      <c r="W183" s="360" t="n">
        <f aca="false">W119*$K183</f>
        <v>2325</v>
      </c>
      <c r="X183" s="360" t="n">
        <f aca="false">X119*$K183</f>
        <v>2250</v>
      </c>
      <c r="Y183" s="360" t="n">
        <f aca="false">Y119*$K183</f>
        <v>2325</v>
      </c>
      <c r="AA183" s="360"/>
    </row>
    <row r="184" customFormat="false" ht="12.75" hidden="false" customHeight="true" outlineLevel="0" collapsed="false">
      <c r="A184" s="294" t="s">
        <v>343</v>
      </c>
      <c r="B184" s="294" t="s">
        <v>371</v>
      </c>
      <c r="C184" s="294" t="s">
        <v>369</v>
      </c>
      <c r="E184" s="359" t="n">
        <v>21165</v>
      </c>
      <c r="F184" s="294" t="s">
        <v>353</v>
      </c>
      <c r="H184" s="378" t="n">
        <v>39172</v>
      </c>
      <c r="I184" s="360" t="n">
        <v>150000</v>
      </c>
      <c r="K184" s="357" t="n">
        <v>0.003</v>
      </c>
      <c r="N184" s="360" t="n">
        <f aca="false">N122*$K184</f>
        <v>13950</v>
      </c>
      <c r="O184" s="360" t="n">
        <f aca="false">O122*$K184</f>
        <v>12600</v>
      </c>
      <c r="P184" s="360" t="n">
        <f aca="false">P122*$K184</f>
        <v>13950</v>
      </c>
      <c r="Q184" s="360" t="n">
        <f aca="false">Q122*$K184</f>
        <v>13500</v>
      </c>
      <c r="R184" s="360" t="n">
        <f aca="false">R122*$K184</f>
        <v>13950</v>
      </c>
      <c r="S184" s="360" t="n">
        <f aca="false">S122*$K184</f>
        <v>13500</v>
      </c>
      <c r="T184" s="360" t="n">
        <f aca="false">T122*$K184</f>
        <v>13950</v>
      </c>
      <c r="U184" s="360" t="n">
        <f aca="false">U122*$K184</f>
        <v>13950</v>
      </c>
      <c r="V184" s="360" t="n">
        <f aca="false">V122*$K184</f>
        <v>13500</v>
      </c>
      <c r="W184" s="360" t="n">
        <f aca="false">W122*$K184</f>
        <v>13950</v>
      </c>
      <c r="X184" s="360" t="n">
        <f aca="false">X122*$K184</f>
        <v>13500</v>
      </c>
      <c r="Y184" s="360" t="n">
        <f aca="false">Y122*$K184</f>
        <v>13950</v>
      </c>
      <c r="AA184" s="360"/>
    </row>
    <row r="185" customFormat="false" ht="12.75" hidden="false" customHeight="true" outlineLevel="0" collapsed="false">
      <c r="H185" s="378"/>
      <c r="N185" s="368"/>
      <c r="O185" s="368"/>
      <c r="P185" s="368"/>
      <c r="Q185" s="368"/>
      <c r="R185" s="368"/>
      <c r="S185" s="368"/>
      <c r="T185" s="368"/>
      <c r="U185" s="368"/>
      <c r="V185" s="368"/>
      <c r="W185" s="368"/>
      <c r="X185" s="368"/>
      <c r="Y185" s="368"/>
      <c r="AA185" s="368" t="n">
        <f aca="false">(I185*365*(ROUND(K185*0.45,4)))</f>
        <v>0</v>
      </c>
    </row>
    <row r="186" customFormat="false" ht="12.75" hidden="false" customHeight="true" outlineLevel="0" collapsed="false">
      <c r="H186" s="378"/>
      <c r="N186" s="360" t="n">
        <f aca="false">SUM(N179:N185)</f>
        <v>21700</v>
      </c>
      <c r="O186" s="360" t="n">
        <f aca="false">SUM(O179:O185)</f>
        <v>19600</v>
      </c>
      <c r="P186" s="360" t="n">
        <f aca="false">SUM(P179:P185)</f>
        <v>21700</v>
      </c>
      <c r="Q186" s="360" t="n">
        <f aca="false">SUM(Q179:Q185)</f>
        <v>21000</v>
      </c>
      <c r="R186" s="360" t="n">
        <f aca="false">SUM(R179:R185)</f>
        <v>21700</v>
      </c>
      <c r="S186" s="360" t="n">
        <f aca="false">SUM(S179:S185)</f>
        <v>21000</v>
      </c>
      <c r="T186" s="360" t="n">
        <f aca="false">SUM(T179:T185)</f>
        <v>21700</v>
      </c>
      <c r="U186" s="360" t="n">
        <f aca="false">SUM(U179:U185)</f>
        <v>21700</v>
      </c>
      <c r="V186" s="360" t="n">
        <f aca="false">SUM(V179:V185)</f>
        <v>21000</v>
      </c>
      <c r="W186" s="360" t="n">
        <f aca="false">SUM(W179:W185)</f>
        <v>21700</v>
      </c>
      <c r="X186" s="360" t="n">
        <f aca="false">SUM(X179:X185)</f>
        <v>21000</v>
      </c>
      <c r="Y186" s="360" t="n">
        <f aca="false">SUM(Y179:Y185)</f>
        <v>21700</v>
      </c>
      <c r="Z186" s="417" t="n">
        <f aca="false">SUM(N186:Y186)</f>
        <v>255500</v>
      </c>
      <c r="AA186" s="417" t="n">
        <v>531020</v>
      </c>
      <c r="AB186" s="417" t="n">
        <f aca="false">AA186-Z186</f>
        <v>275520</v>
      </c>
    </row>
    <row r="187" customFormat="false" ht="12.75" hidden="false" customHeight="true" outlineLevel="0" collapsed="false">
      <c r="E187" s="294"/>
    </row>
    <row r="188" customFormat="false" ht="12.75" hidden="false" customHeight="true" outlineLevel="0" collapsed="false">
      <c r="A188" s="422"/>
      <c r="B188" s="422"/>
      <c r="C188" s="422"/>
      <c r="D188" s="422"/>
      <c r="E188" s="423"/>
      <c r="F188" s="422"/>
      <c r="G188" s="422"/>
      <c r="H188" s="423"/>
      <c r="I188" s="424"/>
      <c r="J188" s="422"/>
      <c r="K188" s="425"/>
      <c r="L188" s="422"/>
      <c r="M188" s="426"/>
      <c r="N188" s="424"/>
      <c r="O188" s="424"/>
      <c r="P188" s="424"/>
      <c r="Q188" s="424"/>
      <c r="R188" s="424"/>
      <c r="S188" s="424"/>
      <c r="T188" s="424"/>
      <c r="U188" s="424"/>
      <c r="V188" s="424"/>
      <c r="W188" s="424"/>
      <c r="X188" s="424"/>
      <c r="Y188" s="424"/>
      <c r="Z188" s="422"/>
      <c r="AA188" s="422"/>
      <c r="AB188" s="422"/>
      <c r="AC188" s="422"/>
      <c r="AD188" s="422"/>
      <c r="AE188" s="422"/>
      <c r="AF188" s="422"/>
      <c r="AG188" s="422"/>
      <c r="AH188" s="422"/>
      <c r="AI188" s="422"/>
      <c r="AJ188" s="422"/>
      <c r="AK188" s="422"/>
      <c r="AL188" s="422"/>
      <c r="AM188" s="422"/>
      <c r="AN188" s="422"/>
      <c r="AO188" s="422"/>
      <c r="AP188" s="422"/>
      <c r="AQ188" s="422"/>
      <c r="AR188" s="422"/>
      <c r="AS188" s="422"/>
      <c r="AT188" s="422"/>
      <c r="AU188" s="422"/>
      <c r="AV188" s="422"/>
      <c r="AW188" s="422"/>
      <c r="AX188" s="422"/>
      <c r="AY188" s="422"/>
      <c r="AZ188" s="422"/>
      <c r="BA188" s="422"/>
      <c r="BB188" s="422"/>
      <c r="BC188" s="422"/>
      <c r="BD188" s="422"/>
      <c r="BE188" s="422"/>
      <c r="BF188" s="422"/>
      <c r="BG188" s="422"/>
      <c r="BH188" s="422"/>
      <c r="BI188" s="422"/>
      <c r="BJ188" s="422"/>
      <c r="BK188" s="422"/>
      <c r="BL188" s="422"/>
      <c r="BM188" s="422"/>
      <c r="BN188" s="422"/>
      <c r="BO188" s="422"/>
      <c r="BP188" s="422"/>
      <c r="BQ188" s="422"/>
      <c r="BR188" s="422"/>
      <c r="BS188" s="422"/>
      <c r="BT188" s="422"/>
      <c r="BU188" s="422"/>
      <c r="BV188" s="422"/>
      <c r="BW188" s="422"/>
      <c r="BX188" s="422"/>
      <c r="BY188" s="422"/>
      <c r="BZ188" s="422"/>
      <c r="CA188" s="422"/>
      <c r="CB188" s="422"/>
      <c r="CC188" s="422"/>
      <c r="CD188" s="422"/>
      <c r="CE188" s="422"/>
      <c r="CF188" s="422"/>
      <c r="CG188" s="422"/>
      <c r="CH188" s="422"/>
      <c r="CI188" s="422"/>
      <c r="CJ188" s="422"/>
      <c r="CK188" s="422"/>
      <c r="CL188" s="422"/>
      <c r="CM188" s="422"/>
      <c r="CN188" s="422"/>
      <c r="CO188" s="422"/>
      <c r="CP188" s="422"/>
      <c r="CQ188" s="422"/>
      <c r="CR188" s="422"/>
      <c r="CS188" s="422"/>
      <c r="CT188" s="422"/>
      <c r="CU188" s="422"/>
      <c r="CV188" s="422"/>
      <c r="CW188" s="422"/>
      <c r="CX188" s="422"/>
      <c r="CY188" s="422"/>
      <c r="CZ188" s="422"/>
      <c r="DA188" s="422"/>
      <c r="DB188" s="422"/>
      <c r="DC188" s="422"/>
      <c r="DD188" s="422"/>
      <c r="DE188" s="422"/>
      <c r="DF188" s="422"/>
      <c r="DG188" s="422"/>
      <c r="DH188" s="422"/>
      <c r="DI188" s="422"/>
      <c r="DJ188" s="422"/>
      <c r="DK188" s="422"/>
      <c r="DL188" s="422"/>
      <c r="DM188" s="422"/>
      <c r="DN188" s="422"/>
      <c r="DO188" s="422"/>
      <c r="DP188" s="422"/>
      <c r="DQ188" s="422"/>
      <c r="DR188" s="422"/>
      <c r="DS188" s="422"/>
      <c r="DT188" s="422"/>
      <c r="DU188" s="422"/>
      <c r="DV188" s="422"/>
      <c r="DW188" s="422"/>
      <c r="DX188" s="422"/>
      <c r="DY188" s="422"/>
      <c r="DZ188" s="422"/>
      <c r="EA188" s="422"/>
      <c r="EB188" s="422"/>
      <c r="EC188" s="422"/>
      <c r="ED188" s="422"/>
      <c r="EE188" s="422"/>
      <c r="EF188" s="422"/>
      <c r="EG188" s="422"/>
      <c r="EH188" s="422"/>
      <c r="EI188" s="422"/>
      <c r="EJ188" s="422"/>
      <c r="EK188" s="422"/>
      <c r="EL188" s="422"/>
      <c r="EM188" s="422"/>
      <c r="EN188" s="422"/>
      <c r="EO188" s="422"/>
      <c r="EP188" s="422"/>
      <c r="EQ188" s="422"/>
      <c r="ER188" s="422"/>
      <c r="ES188" s="422"/>
      <c r="ET188" s="422"/>
      <c r="EU188" s="422"/>
      <c r="EV188" s="422"/>
      <c r="EW188" s="422"/>
      <c r="EX188" s="422"/>
      <c r="EY188" s="422"/>
      <c r="EZ188" s="422"/>
      <c r="FA188" s="422"/>
      <c r="FB188" s="422"/>
      <c r="FC188" s="422"/>
      <c r="FD188" s="422"/>
      <c r="FE188" s="422"/>
      <c r="FF188" s="422"/>
      <c r="FG188" s="422"/>
      <c r="FH188" s="422"/>
      <c r="FI188" s="422"/>
      <c r="FJ188" s="422"/>
      <c r="FK188" s="422"/>
      <c r="FL188" s="422"/>
      <c r="FM188" s="422"/>
      <c r="FN188" s="422"/>
      <c r="FO188" s="422"/>
      <c r="FP188" s="422"/>
      <c r="FQ188" s="422"/>
      <c r="FR188" s="422"/>
      <c r="FS188" s="422"/>
      <c r="FT188" s="422"/>
      <c r="FU188" s="422"/>
      <c r="FV188" s="422"/>
      <c r="FW188" s="422"/>
      <c r="FX188" s="422"/>
      <c r="FY188" s="422"/>
      <c r="FZ188" s="422"/>
      <c r="GA188" s="422"/>
      <c r="GB188" s="422"/>
      <c r="GC188" s="422"/>
      <c r="GD188" s="422"/>
      <c r="GE188" s="422"/>
      <c r="GF188" s="422"/>
      <c r="GG188" s="422"/>
      <c r="GH188" s="422"/>
      <c r="GI188" s="422"/>
      <c r="GJ188" s="422"/>
      <c r="GK188" s="422"/>
      <c r="GL188" s="422"/>
      <c r="GM188" s="422"/>
      <c r="GN188" s="422"/>
      <c r="GO188" s="422"/>
      <c r="GP188" s="422"/>
      <c r="GQ188" s="422"/>
      <c r="GR188" s="422"/>
      <c r="GS188" s="422"/>
      <c r="GT188" s="422"/>
      <c r="GU188" s="422"/>
      <c r="GV188" s="422"/>
      <c r="GW188" s="422"/>
      <c r="GX188" s="422"/>
      <c r="GY188" s="422"/>
      <c r="GZ188" s="422"/>
      <c r="HA188" s="422"/>
      <c r="HB188" s="422"/>
      <c r="HC188" s="422"/>
      <c r="HD188" s="422"/>
      <c r="HE188" s="422"/>
      <c r="HF188" s="422"/>
      <c r="HG188" s="422"/>
      <c r="HH188" s="422"/>
      <c r="HI188" s="422"/>
      <c r="HJ188" s="422"/>
      <c r="HK188" s="422"/>
      <c r="HL188" s="422"/>
      <c r="HM188" s="422"/>
      <c r="HN188" s="422"/>
      <c r="HO188" s="422"/>
      <c r="HP188" s="422"/>
      <c r="HQ188" s="422"/>
      <c r="HR188" s="422"/>
      <c r="HS188" s="422"/>
      <c r="HT188" s="422"/>
      <c r="HU188" s="422"/>
      <c r="HV188" s="422"/>
      <c r="HW188" s="422"/>
      <c r="HX188" s="422"/>
      <c r="HY188" s="422"/>
      <c r="HZ188" s="422"/>
      <c r="IA188" s="422"/>
      <c r="IB188" s="422"/>
      <c r="IC188" s="422"/>
      <c r="ID188" s="422"/>
      <c r="IE188" s="422"/>
      <c r="IF188" s="422"/>
      <c r="IG188" s="422"/>
      <c r="IH188" s="422"/>
      <c r="II188" s="422"/>
      <c r="IJ188" s="422"/>
      <c r="IK188" s="422"/>
      <c r="IL188" s="422"/>
      <c r="IM188" s="422"/>
      <c r="IN188" s="422"/>
      <c r="IO188" s="422"/>
      <c r="IP188" s="422"/>
      <c r="IQ188" s="422"/>
      <c r="IR188" s="422"/>
      <c r="IS188" s="422"/>
      <c r="IT188" s="422"/>
      <c r="IU188" s="422"/>
      <c r="IV188" s="422"/>
      <c r="IW188" s="422"/>
    </row>
    <row r="191" customFormat="false" ht="12.75" hidden="false" customHeight="true" outlineLevel="0" collapsed="false">
      <c r="A191" s="294" t="s">
        <v>343</v>
      </c>
      <c r="B191" s="294" t="s">
        <v>381</v>
      </c>
      <c r="C191" s="294" t="s">
        <v>5</v>
      </c>
      <c r="D191" s="294" t="s">
        <v>332</v>
      </c>
      <c r="E191" s="359" t="n">
        <v>24670</v>
      </c>
      <c r="F191" s="294" t="s">
        <v>382</v>
      </c>
      <c r="H191" s="359" t="s">
        <v>383</v>
      </c>
      <c r="I191" s="360" t="n">
        <v>10000</v>
      </c>
      <c r="M191" s="361" t="s">
        <v>384</v>
      </c>
      <c r="N191" s="360" t="n">
        <f aca="false">$I191*N$1</f>
        <v>310000</v>
      </c>
      <c r="O191" s="360" t="n">
        <f aca="false">$I191*O$1</f>
        <v>280000</v>
      </c>
      <c r="P191" s="360" t="n">
        <f aca="false">$I191*P$1</f>
        <v>310000</v>
      </c>
      <c r="Q191" s="360" t="n">
        <f aca="false">$I191*Q$1</f>
        <v>300000</v>
      </c>
      <c r="R191" s="360" t="n">
        <f aca="false">$I191*R$1</f>
        <v>310000</v>
      </c>
      <c r="S191" s="360" t="n">
        <f aca="false">$I191*S$1</f>
        <v>300000</v>
      </c>
      <c r="T191" s="360" t="n">
        <f aca="false">$I191*T$1</f>
        <v>310000</v>
      </c>
      <c r="U191" s="360" t="n">
        <f aca="false">$I191*U$1</f>
        <v>310000</v>
      </c>
      <c r="V191" s="360" t="n">
        <f aca="false">$I191*V$1</f>
        <v>300000</v>
      </c>
      <c r="W191" s="360" t="n">
        <f aca="false">$I191*W$1</f>
        <v>310000</v>
      </c>
      <c r="X191" s="360" t="n">
        <f aca="false">$I191*X$1</f>
        <v>300000</v>
      </c>
      <c r="Y191" s="360" t="n">
        <f aca="false">$I191*Y$1</f>
        <v>310000</v>
      </c>
    </row>
    <row r="192" customFormat="false" ht="12.75" hidden="false" customHeight="true" outlineLevel="0" collapsed="false">
      <c r="A192" s="294" t="s">
        <v>343</v>
      </c>
      <c r="B192" s="294" t="s">
        <v>381</v>
      </c>
      <c r="C192" s="294" t="s">
        <v>5</v>
      </c>
      <c r="D192" s="294" t="s">
        <v>332</v>
      </c>
      <c r="E192" s="359" t="n">
        <v>25071</v>
      </c>
      <c r="F192" s="294" t="s">
        <v>385</v>
      </c>
      <c r="H192" s="378" t="n">
        <v>39782</v>
      </c>
      <c r="I192" s="360" t="n">
        <v>30000</v>
      </c>
      <c r="M192" s="361" t="s">
        <v>386</v>
      </c>
      <c r="N192" s="360" t="n">
        <f aca="false">$I192*N$1</f>
        <v>930000</v>
      </c>
      <c r="O192" s="360" t="n">
        <f aca="false">$I192*O$1</f>
        <v>840000</v>
      </c>
      <c r="P192" s="360" t="n">
        <f aca="false">$I192*P$1</f>
        <v>930000</v>
      </c>
      <c r="Q192" s="360" t="n">
        <f aca="false">$I192*Q$1</f>
        <v>900000</v>
      </c>
      <c r="R192" s="360" t="n">
        <f aca="false">$I192*R$1</f>
        <v>930000</v>
      </c>
      <c r="S192" s="360" t="n">
        <f aca="false">$I192*S$1</f>
        <v>900000</v>
      </c>
      <c r="T192" s="360" t="n">
        <f aca="false">$I192*T$1</f>
        <v>930000</v>
      </c>
      <c r="U192" s="360" t="n">
        <f aca="false">$I192*U$1</f>
        <v>930000</v>
      </c>
      <c r="V192" s="360" t="n">
        <f aca="false">$I192*V$1</f>
        <v>900000</v>
      </c>
      <c r="W192" s="360" t="n">
        <f aca="false">$I192*W$1</f>
        <v>930000</v>
      </c>
      <c r="X192" s="360" t="n">
        <f aca="false">$I192*X$1</f>
        <v>900000</v>
      </c>
      <c r="Y192" s="360" t="n">
        <f aca="false">$I192*Y$1</f>
        <v>930000</v>
      </c>
    </row>
    <row r="193" customFormat="false" ht="12.75" hidden="false" customHeight="true" outlineLevel="0" collapsed="false">
      <c r="A193" s="294" t="s">
        <v>343</v>
      </c>
      <c r="B193" s="294" t="s">
        <v>381</v>
      </c>
      <c r="C193" s="294" t="s">
        <v>5</v>
      </c>
      <c r="D193" s="294" t="s">
        <v>332</v>
      </c>
      <c r="E193" s="359" t="n">
        <v>25700</v>
      </c>
      <c r="F193" s="294" t="s">
        <v>385</v>
      </c>
      <c r="H193" s="378" t="n">
        <v>37621</v>
      </c>
      <c r="I193" s="360" t="n">
        <v>25000</v>
      </c>
      <c r="M193" s="361" t="s">
        <v>387</v>
      </c>
      <c r="N193" s="360" t="n">
        <f aca="false">$I193*N$1</f>
        <v>775000</v>
      </c>
      <c r="O193" s="360" t="n">
        <f aca="false">$I193*O$1</f>
        <v>700000</v>
      </c>
      <c r="P193" s="360" t="n">
        <f aca="false">$I193*P$1</f>
        <v>775000</v>
      </c>
      <c r="Q193" s="360" t="n">
        <f aca="false">$I193*Q$1</f>
        <v>750000</v>
      </c>
      <c r="R193" s="360" t="n">
        <f aca="false">$I193*R$1</f>
        <v>775000</v>
      </c>
      <c r="S193" s="360" t="n">
        <f aca="false">$I193*S$1</f>
        <v>750000</v>
      </c>
      <c r="T193" s="360" t="n">
        <f aca="false">$I193*T$1</f>
        <v>775000</v>
      </c>
      <c r="U193" s="360" t="n">
        <f aca="false">$I193*U$1</f>
        <v>775000</v>
      </c>
      <c r="V193" s="360" t="n">
        <f aca="false">$I193*V$1</f>
        <v>750000</v>
      </c>
      <c r="W193" s="360" t="n">
        <f aca="false">$I193*W$1</f>
        <v>775000</v>
      </c>
      <c r="X193" s="360" t="n">
        <f aca="false">$I193*X$1</f>
        <v>750000</v>
      </c>
      <c r="Y193" s="360" t="n">
        <f aca="false">$I193*Y$1</f>
        <v>775000</v>
      </c>
    </row>
    <row r="194" customFormat="false" ht="12.75" hidden="false" customHeight="true" outlineLevel="0" collapsed="false">
      <c r="A194" s="294" t="s">
        <v>343</v>
      </c>
      <c r="B194" s="294" t="s">
        <v>381</v>
      </c>
      <c r="C194" s="294" t="s">
        <v>5</v>
      </c>
      <c r="D194" s="294" t="s">
        <v>332</v>
      </c>
      <c r="E194" s="359" t="n">
        <v>26125</v>
      </c>
      <c r="F194" s="294" t="s">
        <v>388</v>
      </c>
      <c r="H194" s="378" t="n">
        <v>37772</v>
      </c>
      <c r="I194" s="360" t="n">
        <v>8600</v>
      </c>
      <c r="M194" s="361" t="s">
        <v>387</v>
      </c>
      <c r="N194" s="360" t="n">
        <f aca="false">$I194*N$1</f>
        <v>266600</v>
      </c>
      <c r="O194" s="360" t="n">
        <f aca="false">$I194*O$1</f>
        <v>240800</v>
      </c>
      <c r="P194" s="360" t="n">
        <f aca="false">$I194*P$1</f>
        <v>266600</v>
      </c>
      <c r="Q194" s="360" t="n">
        <f aca="false">$I194*Q$1</f>
        <v>258000</v>
      </c>
      <c r="R194" s="360" t="n">
        <f aca="false">$I194*R$1</f>
        <v>266600</v>
      </c>
      <c r="S194" s="360" t="n">
        <f aca="false">$I194*S$1</f>
        <v>258000</v>
      </c>
      <c r="T194" s="360" t="n">
        <f aca="false">$I194*T$1</f>
        <v>266600</v>
      </c>
      <c r="U194" s="360" t="n">
        <f aca="false">$I194*U$1</f>
        <v>266600</v>
      </c>
      <c r="V194" s="360" t="n">
        <f aca="false">$I194*V$1</f>
        <v>258000</v>
      </c>
      <c r="W194" s="360" t="n">
        <f aca="false">$I194*W$1</f>
        <v>266600</v>
      </c>
      <c r="X194" s="360" t="n">
        <f aca="false">$I194*X$1</f>
        <v>258000</v>
      </c>
      <c r="Y194" s="360" t="n">
        <f aca="false">$I194*Y$1</f>
        <v>266600</v>
      </c>
    </row>
    <row r="195" customFormat="false" ht="12.75" hidden="false" customHeight="true" outlineLevel="0" collapsed="false">
      <c r="A195" s="294" t="s">
        <v>343</v>
      </c>
      <c r="B195" s="294" t="s">
        <v>381</v>
      </c>
      <c r="C195" s="294" t="s">
        <v>5</v>
      </c>
      <c r="D195" s="294" t="s">
        <v>332</v>
      </c>
      <c r="E195" s="359" t="n">
        <v>26813</v>
      </c>
      <c r="F195" s="294" t="s">
        <v>389</v>
      </c>
      <c r="H195" s="378" t="n">
        <v>39569</v>
      </c>
      <c r="I195" s="360" t="n">
        <v>3500</v>
      </c>
      <c r="M195" s="361" t="s">
        <v>346</v>
      </c>
      <c r="N195" s="360" t="n">
        <f aca="false">$I$195*N$1</f>
        <v>108500</v>
      </c>
      <c r="O195" s="360" t="n">
        <f aca="false">$I$195*O$1</f>
        <v>98000</v>
      </c>
      <c r="P195" s="360" t="n">
        <f aca="false">$I$195*P$1</f>
        <v>108500</v>
      </c>
      <c r="Q195" s="360" t="n">
        <f aca="false">$I$195*Q$1</f>
        <v>105000</v>
      </c>
      <c r="R195" s="360" t="n">
        <f aca="false">$I$195*R$1</f>
        <v>108500</v>
      </c>
      <c r="S195" s="360" t="n">
        <f aca="false">$I$195*S$1</f>
        <v>105000</v>
      </c>
      <c r="T195" s="360" t="n">
        <f aca="false">$I$195*T$1</f>
        <v>108500</v>
      </c>
      <c r="U195" s="360" t="n">
        <f aca="false">$I$195*U$1</f>
        <v>108500</v>
      </c>
      <c r="V195" s="360" t="n">
        <f aca="false">$I$195*V$1</f>
        <v>105000</v>
      </c>
      <c r="W195" s="360" t="n">
        <f aca="false">$I$195*W$1</f>
        <v>108500</v>
      </c>
      <c r="X195" s="360" t="n">
        <f aca="false">$I$195*X$1</f>
        <v>105000</v>
      </c>
      <c r="Y195" s="360" t="n">
        <f aca="false">$I$195*Y$1</f>
        <v>108500</v>
      </c>
    </row>
    <row r="196" customFormat="false" ht="12.75" hidden="false" customHeight="true" outlineLevel="0" collapsed="false">
      <c r="A196" s="294" t="s">
        <v>343</v>
      </c>
      <c r="B196" s="294" t="s">
        <v>381</v>
      </c>
      <c r="C196" s="294" t="s">
        <v>5</v>
      </c>
      <c r="D196" s="294" t="s">
        <v>332</v>
      </c>
      <c r="E196" s="359" t="n">
        <v>26816</v>
      </c>
      <c r="F196" s="294" t="s">
        <v>347</v>
      </c>
      <c r="H196" s="378" t="n">
        <v>38472</v>
      </c>
      <c r="I196" s="360" t="n">
        <v>21500</v>
      </c>
      <c r="M196" s="361" t="s">
        <v>346</v>
      </c>
      <c r="N196" s="360" t="n">
        <f aca="false">$I$196*N$1</f>
        <v>666500</v>
      </c>
      <c r="O196" s="360" t="n">
        <f aca="false">$I$196*O$1</f>
        <v>602000</v>
      </c>
      <c r="P196" s="360" t="n">
        <f aca="false">$I$196*P$1</f>
        <v>666500</v>
      </c>
      <c r="Q196" s="360" t="n">
        <f aca="false">$I$196*Q$1</f>
        <v>645000</v>
      </c>
      <c r="R196" s="360" t="n">
        <f aca="false">$I$196*R$1</f>
        <v>666500</v>
      </c>
      <c r="S196" s="360" t="n">
        <f aca="false">$I$196*S$1</f>
        <v>645000</v>
      </c>
      <c r="T196" s="360" t="n">
        <f aca="false">$I$196*T$1</f>
        <v>666500</v>
      </c>
      <c r="U196" s="360" t="n">
        <f aca="false">$I$196*U$1</f>
        <v>666500</v>
      </c>
      <c r="V196" s="360" t="n">
        <f aca="false">$I$196*V$1</f>
        <v>645000</v>
      </c>
      <c r="W196" s="360" t="n">
        <f aca="false">$I$196*W$1</f>
        <v>666500</v>
      </c>
      <c r="X196" s="360" t="n">
        <f aca="false">$I$196*X$1</f>
        <v>645000</v>
      </c>
      <c r="Y196" s="360" t="n">
        <f aca="false">$I$196*Y$1</f>
        <v>666500</v>
      </c>
    </row>
    <row r="197" customFormat="false" ht="12.75" hidden="false" customHeight="true" outlineLevel="0" collapsed="false">
      <c r="A197" s="294" t="s">
        <v>343</v>
      </c>
      <c r="B197" s="294" t="s">
        <v>381</v>
      </c>
      <c r="C197" s="294" t="s">
        <v>5</v>
      </c>
      <c r="D197" s="294" t="s">
        <v>332</v>
      </c>
      <c r="E197" s="359" t="n">
        <v>26960</v>
      </c>
      <c r="F197" s="294" t="s">
        <v>390</v>
      </c>
      <c r="G197" s="375" t="n">
        <v>36617</v>
      </c>
      <c r="H197" s="378" t="n">
        <v>37346</v>
      </c>
      <c r="I197" s="360" t="n">
        <v>20000</v>
      </c>
      <c r="M197" s="361" t="s">
        <v>346</v>
      </c>
      <c r="N197" s="360" t="n">
        <f aca="false">$I$197*N$1</f>
        <v>620000</v>
      </c>
      <c r="O197" s="360" t="n">
        <f aca="false">$I$197*O$1</f>
        <v>560000</v>
      </c>
      <c r="P197" s="360" t="n">
        <f aca="false">$I$197*P$1</f>
        <v>620000</v>
      </c>
      <c r="Q197" s="360" t="n">
        <f aca="false">$I$197*Q$1</f>
        <v>600000</v>
      </c>
      <c r="R197" s="360" t="n">
        <f aca="false">$I$197*R$1</f>
        <v>620000</v>
      </c>
      <c r="S197" s="360" t="n">
        <f aca="false">$I$197*S$1</f>
        <v>600000</v>
      </c>
      <c r="T197" s="360" t="n">
        <f aca="false">$I$197*T$1</f>
        <v>620000</v>
      </c>
      <c r="U197" s="360" t="n">
        <f aca="false">$I$197*U$1</f>
        <v>620000</v>
      </c>
      <c r="V197" s="360" t="n">
        <f aca="false">$I$197*V$1</f>
        <v>600000</v>
      </c>
      <c r="W197" s="360" t="n">
        <f aca="false">$I$197*W$1</f>
        <v>620000</v>
      </c>
      <c r="X197" s="360" t="n">
        <f aca="false">$I$197*X$1</f>
        <v>600000</v>
      </c>
      <c r="Y197" s="360" t="n">
        <f aca="false">$I$197*Y$1</f>
        <v>620000</v>
      </c>
    </row>
    <row r="198" customFormat="false" ht="12.75" hidden="false" customHeight="true" outlineLevel="0" collapsed="false">
      <c r="A198" s="294" t="s">
        <v>343</v>
      </c>
      <c r="B198" s="294" t="s">
        <v>381</v>
      </c>
      <c r="C198" s="294" t="s">
        <v>5</v>
      </c>
      <c r="D198" s="294" t="s">
        <v>332</v>
      </c>
      <c r="E198" s="359" t="n">
        <v>26719</v>
      </c>
      <c r="F198" s="294" t="s">
        <v>391</v>
      </c>
      <c r="G198" s="375"/>
      <c r="H198" s="378" t="n">
        <v>38472</v>
      </c>
      <c r="I198" s="360" t="n">
        <v>25000</v>
      </c>
      <c r="M198" s="361" t="s">
        <v>346</v>
      </c>
      <c r="N198" s="360" t="n">
        <f aca="false">$I$198*N$1</f>
        <v>775000</v>
      </c>
      <c r="O198" s="360" t="n">
        <f aca="false">$I$198*O$1</f>
        <v>700000</v>
      </c>
      <c r="P198" s="360" t="n">
        <f aca="false">$I$198*P$1</f>
        <v>775000</v>
      </c>
      <c r="Q198" s="360" t="n">
        <f aca="false">$I$198*Q$1</f>
        <v>750000</v>
      </c>
      <c r="R198" s="360" t="n">
        <f aca="false">$I$198*R$1</f>
        <v>775000</v>
      </c>
      <c r="S198" s="360" t="n">
        <f aca="false">$I$198*S$1</f>
        <v>750000</v>
      </c>
      <c r="T198" s="360" t="n">
        <f aca="false">$I$198*T$1</f>
        <v>775000</v>
      </c>
      <c r="U198" s="360" t="n">
        <f aca="false">$I$198*U$1</f>
        <v>775000</v>
      </c>
      <c r="V198" s="360" t="n">
        <f aca="false">$I$198*V$1</f>
        <v>750000</v>
      </c>
      <c r="W198" s="360" t="n">
        <f aca="false">$I$198*W$1</f>
        <v>775000</v>
      </c>
      <c r="X198" s="360" t="n">
        <f aca="false">$I$198*X$1</f>
        <v>750000</v>
      </c>
      <c r="Y198" s="360" t="n">
        <f aca="false">$I$198*Y$1</f>
        <v>775000</v>
      </c>
    </row>
    <row r="199" customFormat="false" ht="12.75" hidden="false" customHeight="true" outlineLevel="0" collapsed="false">
      <c r="A199" s="294" t="s">
        <v>343</v>
      </c>
      <c r="B199" s="294" t="s">
        <v>381</v>
      </c>
      <c r="C199" s="294" t="s">
        <v>5</v>
      </c>
      <c r="D199" s="294" t="s">
        <v>332</v>
      </c>
      <c r="E199" s="359" t="n">
        <v>26884</v>
      </c>
      <c r="F199" s="294" t="s">
        <v>392</v>
      </c>
      <c r="H199" s="378" t="n">
        <v>38656</v>
      </c>
      <c r="I199" s="360" t="n">
        <v>40000</v>
      </c>
      <c r="M199" s="361" t="s">
        <v>346</v>
      </c>
      <c r="N199" s="360" t="n">
        <f aca="false">$I$199*N$1</f>
        <v>1240000</v>
      </c>
      <c r="O199" s="360" t="n">
        <f aca="false">$I$199*O$1</f>
        <v>1120000</v>
      </c>
      <c r="P199" s="360" t="n">
        <f aca="false">$I$199*P$1</f>
        <v>1240000</v>
      </c>
      <c r="Q199" s="360" t="n">
        <f aca="false">$I$199*Q$1</f>
        <v>1200000</v>
      </c>
      <c r="R199" s="360" t="n">
        <f aca="false">$I$199*R$1</f>
        <v>1240000</v>
      </c>
      <c r="S199" s="360" t="n">
        <f aca="false">$I$199*S$1</f>
        <v>1200000</v>
      </c>
      <c r="T199" s="360" t="n">
        <f aca="false">$I$199*T$1</f>
        <v>1240000</v>
      </c>
      <c r="U199" s="360" t="n">
        <f aca="false">$I$199*U$1</f>
        <v>1240000</v>
      </c>
      <c r="V199" s="360" t="n">
        <f aca="false">$I$199*V$1</f>
        <v>1200000</v>
      </c>
      <c r="W199" s="360" t="n">
        <f aca="false">$I$199*W$1</f>
        <v>1240000</v>
      </c>
      <c r="X199" s="360" t="n">
        <f aca="false">$I$199*X$1</f>
        <v>1200000</v>
      </c>
      <c r="Y199" s="360" t="n">
        <f aca="false">$I$199*Y$1</f>
        <v>1240000</v>
      </c>
    </row>
    <row r="200" customFormat="false" ht="12.75" hidden="false" customHeight="true" outlineLevel="0" collapsed="false">
      <c r="A200" s="315" t="s">
        <v>343</v>
      </c>
      <c r="B200" s="315" t="s">
        <v>381</v>
      </c>
      <c r="C200" s="315" t="s">
        <v>5</v>
      </c>
      <c r="D200" s="315" t="s">
        <v>332</v>
      </c>
      <c r="E200" s="429" t="s">
        <v>393</v>
      </c>
      <c r="F200" s="315" t="s">
        <v>361</v>
      </c>
      <c r="G200" s="430" t="n">
        <v>37196</v>
      </c>
      <c r="H200" s="431" t="n">
        <v>37256</v>
      </c>
      <c r="I200" s="432" t="n">
        <v>15000</v>
      </c>
      <c r="J200" s="315"/>
      <c r="K200" s="433"/>
      <c r="L200" s="315"/>
      <c r="M200" s="434" t="s">
        <v>352</v>
      </c>
      <c r="N200" s="432"/>
      <c r="O200" s="432"/>
      <c r="P200" s="432"/>
      <c r="Q200" s="432"/>
      <c r="R200" s="432"/>
      <c r="S200" s="432"/>
      <c r="T200" s="432"/>
      <c r="U200" s="432"/>
      <c r="V200" s="432"/>
      <c r="W200" s="432"/>
      <c r="X200" s="432" t="n">
        <f aca="false">$I$200*X$1</f>
        <v>450000</v>
      </c>
      <c r="Y200" s="432" t="n">
        <f aca="false">$I$200*Y$1</f>
        <v>465000</v>
      </c>
      <c r="Z200" s="315"/>
      <c r="AA200" s="315"/>
      <c r="AB200" s="315"/>
      <c r="AC200" s="315"/>
      <c r="AD200" s="315"/>
      <c r="AE200" s="315"/>
      <c r="AF200" s="315"/>
      <c r="AG200" s="315"/>
      <c r="AH200" s="315"/>
      <c r="AI200" s="315"/>
      <c r="AJ200" s="315"/>
      <c r="AK200" s="315"/>
      <c r="AL200" s="315"/>
      <c r="AM200" s="315"/>
      <c r="AN200" s="315"/>
      <c r="AO200" s="315"/>
      <c r="AP200" s="315"/>
      <c r="AQ200" s="315"/>
      <c r="AR200" s="315"/>
      <c r="AS200" s="315"/>
      <c r="AT200" s="315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315"/>
      <c r="CK200" s="315"/>
      <c r="CL200" s="315"/>
      <c r="CM200" s="315"/>
      <c r="CN200" s="315"/>
      <c r="CO200" s="315"/>
      <c r="CP200" s="315"/>
      <c r="CQ200" s="315"/>
      <c r="CR200" s="315"/>
      <c r="CS200" s="315"/>
      <c r="CT200" s="315"/>
      <c r="CU200" s="315"/>
      <c r="CV200" s="315"/>
      <c r="CW200" s="315"/>
      <c r="CX200" s="315"/>
      <c r="CY200" s="315"/>
      <c r="CZ200" s="315"/>
      <c r="DA200" s="315"/>
      <c r="DB200" s="315"/>
      <c r="DC200" s="315"/>
      <c r="DD200" s="315"/>
      <c r="DE200" s="315"/>
      <c r="DF200" s="315"/>
      <c r="DG200" s="315"/>
      <c r="DH200" s="315"/>
      <c r="DI200" s="315"/>
      <c r="DJ200" s="315"/>
      <c r="DK200" s="315"/>
      <c r="DL200" s="315"/>
      <c r="DM200" s="315"/>
      <c r="DN200" s="315"/>
      <c r="DO200" s="315"/>
      <c r="DP200" s="315"/>
      <c r="DQ200" s="315"/>
      <c r="DR200" s="315"/>
      <c r="DS200" s="315"/>
      <c r="DT200" s="315"/>
      <c r="DU200" s="315"/>
      <c r="DV200" s="315"/>
      <c r="DW200" s="315"/>
      <c r="DX200" s="315"/>
      <c r="DY200" s="315"/>
      <c r="DZ200" s="315"/>
      <c r="EA200" s="315"/>
      <c r="EB200" s="315"/>
      <c r="EC200" s="315"/>
      <c r="ED200" s="315"/>
      <c r="EE200" s="315"/>
      <c r="EF200" s="315"/>
      <c r="EG200" s="315"/>
      <c r="EH200" s="315"/>
      <c r="EI200" s="315"/>
      <c r="EJ200" s="315"/>
      <c r="EK200" s="315"/>
      <c r="EL200" s="315"/>
      <c r="EM200" s="315"/>
      <c r="EN200" s="315"/>
      <c r="EO200" s="315"/>
      <c r="EP200" s="315"/>
      <c r="EQ200" s="315"/>
      <c r="ER200" s="315"/>
      <c r="ES200" s="315"/>
      <c r="ET200" s="315"/>
      <c r="EU200" s="315"/>
      <c r="EV200" s="315"/>
      <c r="EW200" s="315"/>
      <c r="EX200" s="315"/>
      <c r="EY200" s="315"/>
      <c r="EZ200" s="315"/>
      <c r="FA200" s="315"/>
      <c r="FB200" s="315"/>
      <c r="FC200" s="315"/>
      <c r="FD200" s="315"/>
      <c r="FE200" s="315"/>
      <c r="FF200" s="315"/>
      <c r="FG200" s="315"/>
      <c r="FH200" s="315"/>
      <c r="FI200" s="315"/>
      <c r="FJ200" s="315"/>
      <c r="FK200" s="315"/>
      <c r="FL200" s="315"/>
      <c r="FM200" s="315"/>
      <c r="FN200" s="315"/>
      <c r="FO200" s="315"/>
      <c r="FP200" s="315"/>
      <c r="FQ200" s="315"/>
      <c r="FR200" s="315"/>
      <c r="FS200" s="315"/>
      <c r="FT200" s="315"/>
      <c r="FU200" s="315"/>
      <c r="FV200" s="315"/>
      <c r="FW200" s="315"/>
      <c r="FX200" s="315"/>
      <c r="FY200" s="315"/>
      <c r="FZ200" s="315"/>
      <c r="GA200" s="315"/>
      <c r="GB200" s="315"/>
      <c r="GC200" s="315"/>
      <c r="GD200" s="315"/>
      <c r="GE200" s="315"/>
      <c r="GF200" s="315"/>
      <c r="GG200" s="315"/>
      <c r="GH200" s="315"/>
      <c r="GI200" s="315"/>
      <c r="GJ200" s="315"/>
      <c r="GK200" s="315"/>
      <c r="GL200" s="315"/>
      <c r="GM200" s="315"/>
      <c r="GN200" s="315"/>
      <c r="GO200" s="315"/>
      <c r="GP200" s="315"/>
      <c r="GQ200" s="315"/>
      <c r="GR200" s="315"/>
      <c r="GS200" s="315"/>
      <c r="GT200" s="315"/>
      <c r="GU200" s="315"/>
      <c r="GV200" s="315"/>
      <c r="GW200" s="315"/>
      <c r="GX200" s="315"/>
      <c r="GY200" s="315"/>
      <c r="GZ200" s="315"/>
      <c r="HA200" s="315"/>
      <c r="HB200" s="315"/>
      <c r="HC200" s="315"/>
      <c r="HD200" s="315"/>
      <c r="HE200" s="315"/>
      <c r="HF200" s="315"/>
      <c r="HG200" s="315"/>
      <c r="HH200" s="315"/>
      <c r="HI200" s="315"/>
      <c r="HJ200" s="315"/>
      <c r="HK200" s="315"/>
      <c r="HL200" s="315"/>
      <c r="HM200" s="315"/>
      <c r="HN200" s="315"/>
      <c r="HO200" s="315"/>
      <c r="HP200" s="315"/>
      <c r="HQ200" s="315"/>
      <c r="HR200" s="315"/>
      <c r="HS200" s="315"/>
      <c r="HT200" s="315"/>
      <c r="HU200" s="315"/>
      <c r="HV200" s="315"/>
      <c r="HW200" s="315"/>
      <c r="HX200" s="315"/>
      <c r="HY200" s="315"/>
      <c r="HZ200" s="315"/>
      <c r="IA200" s="315"/>
      <c r="IB200" s="315"/>
      <c r="IC200" s="315"/>
      <c r="ID200" s="315"/>
      <c r="IE200" s="315"/>
      <c r="IF200" s="315"/>
      <c r="IG200" s="315"/>
      <c r="IH200" s="315"/>
      <c r="II200" s="315"/>
      <c r="IJ200" s="315"/>
      <c r="IK200" s="315"/>
      <c r="IL200" s="315"/>
      <c r="IM200" s="315"/>
      <c r="IN200" s="315"/>
      <c r="IO200" s="315"/>
      <c r="IP200" s="315"/>
      <c r="IQ200" s="315"/>
      <c r="IR200" s="315"/>
      <c r="IS200" s="315"/>
      <c r="IT200" s="315"/>
      <c r="IU200" s="315"/>
      <c r="IV200" s="315"/>
      <c r="IW200" s="315"/>
    </row>
    <row r="201" customFormat="false" ht="12.75" hidden="false" customHeight="true" outlineLevel="0" collapsed="false">
      <c r="A201" s="380" t="s">
        <v>343</v>
      </c>
      <c r="B201" s="380" t="s">
        <v>381</v>
      </c>
      <c r="C201" s="380" t="s">
        <v>5</v>
      </c>
      <c r="D201" s="380" t="s">
        <v>332</v>
      </c>
      <c r="E201" s="379" t="n">
        <v>27457</v>
      </c>
      <c r="F201" s="380" t="s">
        <v>394</v>
      </c>
      <c r="G201" s="387"/>
      <c r="H201" s="376" t="n">
        <v>37256</v>
      </c>
      <c r="I201" s="396" t="n">
        <v>13500</v>
      </c>
      <c r="N201" s="368"/>
      <c r="O201" s="368"/>
      <c r="P201" s="368"/>
      <c r="Q201" s="368"/>
      <c r="R201" s="368"/>
      <c r="S201" s="368"/>
      <c r="T201" s="368"/>
      <c r="U201" s="368"/>
      <c r="V201" s="368"/>
      <c r="W201" s="368"/>
      <c r="X201" s="368"/>
      <c r="Y201" s="396" t="n">
        <f aca="false">$I$201*Y$1</f>
        <v>418500</v>
      </c>
    </row>
    <row r="202" customFormat="false" ht="12.75" hidden="false" customHeight="true" outlineLevel="0" collapsed="false">
      <c r="I202" s="360" t="n">
        <f aca="false">SUM(I191:I201)</f>
        <v>212100</v>
      </c>
      <c r="N202" s="360" t="n">
        <f aca="false">SUM(N191:N201)</f>
        <v>5691600</v>
      </c>
      <c r="O202" s="360" t="n">
        <f aca="false">SUM(O191:O201)</f>
        <v>5140800</v>
      </c>
      <c r="P202" s="360" t="n">
        <f aca="false">SUM(P191:P201)</f>
        <v>5691600</v>
      </c>
      <c r="Q202" s="360" t="n">
        <f aca="false">SUM(Q191:Q201)</f>
        <v>5508000</v>
      </c>
      <c r="R202" s="360" t="n">
        <f aca="false">SUM(R191:R201)</f>
        <v>5691600</v>
      </c>
      <c r="S202" s="360" t="n">
        <f aca="false">SUM(S191:S201)</f>
        <v>5508000</v>
      </c>
      <c r="T202" s="360" t="n">
        <f aca="false">SUM(T191:T201)</f>
        <v>5691600</v>
      </c>
      <c r="U202" s="360" t="n">
        <f aca="false">SUM(U191:U201)</f>
        <v>5691600</v>
      </c>
      <c r="V202" s="360" t="n">
        <f aca="false">SUM(V191:V201)</f>
        <v>5508000</v>
      </c>
      <c r="W202" s="360" t="n">
        <f aca="false">SUM(W191:W201)</f>
        <v>5691600</v>
      </c>
      <c r="X202" s="360" t="n">
        <f aca="false">SUM(X191:X201)</f>
        <v>5958000</v>
      </c>
      <c r="Y202" s="360" t="n">
        <f aca="false">SUM(Y191:Y201)</f>
        <v>6575100</v>
      </c>
    </row>
    <row r="204" customFormat="false" ht="12.75" hidden="false" customHeight="true" outlineLevel="0" collapsed="false">
      <c r="A204" s="397" t="s">
        <v>395</v>
      </c>
      <c r="B204" s="398"/>
      <c r="C204" s="398"/>
      <c r="D204" s="398"/>
      <c r="E204" s="399"/>
      <c r="F204" s="398"/>
      <c r="G204" s="398"/>
      <c r="H204" s="399"/>
      <c r="I204" s="400"/>
      <c r="J204" s="398"/>
      <c r="K204" s="401"/>
      <c r="L204" s="398"/>
      <c r="M204" s="402"/>
      <c r="N204" s="403" t="n">
        <v>0.74</v>
      </c>
      <c r="O204" s="403" t="n">
        <v>0.74</v>
      </c>
      <c r="P204" s="403" t="n">
        <v>0.87</v>
      </c>
      <c r="Q204" s="403" t="n">
        <v>0.79</v>
      </c>
      <c r="R204" s="403" t="n">
        <v>0.98</v>
      </c>
      <c r="S204" s="403" t="n">
        <v>0.91</v>
      </c>
      <c r="T204" s="403" t="n">
        <v>0.88</v>
      </c>
      <c r="U204" s="403" t="n">
        <v>0.95</v>
      </c>
      <c r="V204" s="403" t="n">
        <v>0.87</v>
      </c>
      <c r="W204" s="403" t="n">
        <v>0.95</v>
      </c>
      <c r="X204" s="403" t="n">
        <v>1</v>
      </c>
      <c r="Y204" s="405" t="n">
        <v>0.98</v>
      </c>
    </row>
    <row r="205" customFormat="false" ht="12.75" hidden="false" customHeight="true" outlineLevel="0" collapsed="false">
      <c r="A205" s="294" t="s">
        <v>343</v>
      </c>
      <c r="B205" s="294" t="s">
        <v>381</v>
      </c>
      <c r="C205" s="294" t="s">
        <v>5</v>
      </c>
      <c r="D205" s="294" t="s">
        <v>329</v>
      </c>
      <c r="E205" s="359" t="n">
        <v>24670</v>
      </c>
      <c r="F205" s="294" t="s">
        <v>382</v>
      </c>
      <c r="H205" s="359" t="s">
        <v>383</v>
      </c>
      <c r="I205" s="360" t="n">
        <v>10000</v>
      </c>
      <c r="M205" s="361" t="s">
        <v>384</v>
      </c>
      <c r="N205" s="360" t="n">
        <f aca="false">N191*N$204</f>
        <v>229400</v>
      </c>
      <c r="O205" s="360" t="n">
        <f aca="false">O191*O$204</f>
        <v>207200</v>
      </c>
      <c r="P205" s="360" t="n">
        <f aca="false">(P191*P$204)+(1000*P$1)</f>
        <v>300700</v>
      </c>
      <c r="Q205" s="360" t="n">
        <f aca="false">Q191*Q$204</f>
        <v>237000</v>
      </c>
      <c r="R205" s="360" t="n">
        <f aca="false">R191*R$204</f>
        <v>303800</v>
      </c>
      <c r="S205" s="360" t="n">
        <f aca="false">S191*S$204</f>
        <v>273000</v>
      </c>
      <c r="T205" s="360" t="n">
        <f aca="false">(T191*T$204)+(1200*T$1)</f>
        <v>310000</v>
      </c>
      <c r="U205" s="360" t="n">
        <f aca="false">U191*U$204</f>
        <v>294500</v>
      </c>
      <c r="V205" s="360" t="n">
        <f aca="false">V191*V$204</f>
        <v>261000</v>
      </c>
      <c r="W205" s="360" t="n">
        <f aca="false">W191*W$204</f>
        <v>294500</v>
      </c>
      <c r="X205" s="360" t="n">
        <f aca="false">X191*X$204</f>
        <v>300000</v>
      </c>
      <c r="Y205" s="360" t="n">
        <f aca="false">Y191*Y$204</f>
        <v>303800</v>
      </c>
    </row>
    <row r="206" customFormat="false" ht="12.75" hidden="false" customHeight="true" outlineLevel="0" collapsed="false">
      <c r="A206" s="406"/>
      <c r="B206" s="406" t="s">
        <v>364</v>
      </c>
      <c r="C206" s="406" t="s">
        <v>5</v>
      </c>
      <c r="D206" s="406" t="s">
        <v>329</v>
      </c>
      <c r="E206" s="435"/>
      <c r="F206" s="406"/>
      <c r="G206" s="406"/>
      <c r="H206" s="435"/>
      <c r="I206" s="410"/>
      <c r="J206" s="406"/>
      <c r="K206" s="411"/>
      <c r="L206" s="406"/>
      <c r="M206" s="412"/>
      <c r="N206" s="410"/>
      <c r="O206" s="410"/>
      <c r="P206" s="410"/>
      <c r="Q206" s="410" t="n">
        <v>-4180000</v>
      </c>
      <c r="R206" s="410" t="n">
        <f aca="false">-2450000-645000</f>
        <v>-3095000</v>
      </c>
      <c r="S206" s="410"/>
      <c r="T206" s="410"/>
      <c r="U206" s="410"/>
      <c r="V206" s="410"/>
      <c r="W206" s="410"/>
      <c r="X206" s="410"/>
      <c r="Y206" s="410"/>
      <c r="Z206" s="406"/>
      <c r="AA206" s="406"/>
      <c r="AB206" s="406"/>
      <c r="AC206" s="406"/>
      <c r="AD206" s="406"/>
      <c r="AE206" s="406"/>
      <c r="AF206" s="406"/>
      <c r="AG206" s="406"/>
      <c r="AH206" s="406"/>
      <c r="AI206" s="406"/>
      <c r="AJ206" s="406"/>
      <c r="AK206" s="406"/>
      <c r="AL206" s="406"/>
      <c r="AM206" s="406"/>
      <c r="AN206" s="406"/>
      <c r="AO206" s="406"/>
      <c r="AP206" s="406"/>
      <c r="AQ206" s="406"/>
      <c r="AR206" s="406"/>
      <c r="AS206" s="406"/>
      <c r="AT206" s="406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406"/>
      <c r="BW206" s="406"/>
      <c r="BX206" s="406"/>
      <c r="BY206" s="406"/>
      <c r="BZ206" s="406"/>
      <c r="CA206" s="406"/>
      <c r="CB206" s="406"/>
      <c r="CC206" s="406"/>
      <c r="CD206" s="406"/>
      <c r="CE206" s="406"/>
      <c r="CF206" s="406"/>
      <c r="CG206" s="406"/>
      <c r="CH206" s="406"/>
      <c r="CI206" s="406"/>
      <c r="CJ206" s="406"/>
      <c r="CK206" s="406"/>
      <c r="CL206" s="406"/>
      <c r="CM206" s="406"/>
      <c r="CN206" s="406"/>
      <c r="CO206" s="406"/>
      <c r="CP206" s="406"/>
      <c r="CQ206" s="406"/>
      <c r="CR206" s="406"/>
      <c r="CS206" s="406"/>
      <c r="CT206" s="406"/>
      <c r="CU206" s="406"/>
      <c r="CV206" s="406"/>
      <c r="CW206" s="406"/>
      <c r="CX206" s="406"/>
      <c r="CY206" s="406"/>
      <c r="CZ206" s="406"/>
      <c r="DA206" s="406"/>
      <c r="DB206" s="406"/>
      <c r="DC206" s="406"/>
      <c r="DD206" s="406"/>
      <c r="DE206" s="406"/>
      <c r="DF206" s="406"/>
      <c r="DG206" s="406"/>
      <c r="DH206" s="406"/>
      <c r="DI206" s="406"/>
      <c r="DJ206" s="406"/>
      <c r="DK206" s="406"/>
      <c r="DL206" s="406"/>
      <c r="DM206" s="406"/>
      <c r="DN206" s="406"/>
      <c r="DO206" s="406"/>
      <c r="DP206" s="406"/>
      <c r="DQ206" s="406"/>
      <c r="DR206" s="406"/>
      <c r="DS206" s="406"/>
      <c r="DT206" s="406"/>
      <c r="DU206" s="406"/>
      <c r="DV206" s="406"/>
      <c r="DW206" s="406"/>
      <c r="DX206" s="406"/>
      <c r="DY206" s="406"/>
      <c r="DZ206" s="406"/>
      <c r="EA206" s="406"/>
      <c r="EB206" s="406"/>
      <c r="EC206" s="406"/>
      <c r="ED206" s="406"/>
      <c r="EE206" s="406"/>
      <c r="EF206" s="406"/>
      <c r="EG206" s="406"/>
      <c r="EH206" s="406"/>
      <c r="EI206" s="406"/>
      <c r="EJ206" s="406"/>
      <c r="EK206" s="406"/>
      <c r="EL206" s="406"/>
      <c r="EM206" s="406"/>
      <c r="EN206" s="406"/>
      <c r="EO206" s="406"/>
      <c r="EP206" s="406"/>
      <c r="EQ206" s="406"/>
      <c r="ER206" s="406"/>
      <c r="ES206" s="406"/>
      <c r="ET206" s="406"/>
      <c r="EU206" s="406"/>
      <c r="EV206" s="406"/>
      <c r="EW206" s="406"/>
      <c r="EX206" s="406"/>
      <c r="EY206" s="406"/>
      <c r="EZ206" s="406"/>
      <c r="FA206" s="406"/>
      <c r="FB206" s="406"/>
      <c r="FC206" s="406"/>
      <c r="FD206" s="406"/>
      <c r="FE206" s="406"/>
      <c r="FF206" s="406"/>
      <c r="FG206" s="406"/>
      <c r="FH206" s="406"/>
      <c r="FI206" s="406"/>
      <c r="FJ206" s="406"/>
      <c r="FK206" s="406"/>
      <c r="FL206" s="406"/>
      <c r="FM206" s="406"/>
      <c r="FN206" s="406"/>
      <c r="FO206" s="406"/>
      <c r="FP206" s="406"/>
      <c r="FQ206" s="406"/>
      <c r="FR206" s="406"/>
      <c r="FS206" s="406"/>
      <c r="FT206" s="406"/>
      <c r="FU206" s="406"/>
      <c r="FV206" s="406"/>
      <c r="FW206" s="406"/>
      <c r="FX206" s="406"/>
      <c r="FY206" s="406"/>
      <c r="FZ206" s="406"/>
      <c r="GA206" s="406"/>
      <c r="GB206" s="406"/>
      <c r="GC206" s="406"/>
      <c r="GD206" s="406"/>
      <c r="GE206" s="406"/>
      <c r="GF206" s="406"/>
      <c r="GG206" s="406"/>
      <c r="GH206" s="406"/>
      <c r="GI206" s="406"/>
      <c r="GJ206" s="406"/>
      <c r="GK206" s="406"/>
      <c r="GL206" s="406"/>
      <c r="GM206" s="406"/>
      <c r="GN206" s="406"/>
      <c r="GO206" s="406"/>
      <c r="GP206" s="406"/>
      <c r="GQ206" s="406"/>
      <c r="GR206" s="406"/>
      <c r="GS206" s="406"/>
      <c r="GT206" s="406"/>
      <c r="GU206" s="406"/>
      <c r="GV206" s="406"/>
      <c r="GW206" s="406"/>
      <c r="GX206" s="406"/>
      <c r="GY206" s="406"/>
      <c r="GZ206" s="406"/>
      <c r="HA206" s="406"/>
      <c r="HB206" s="406"/>
      <c r="HC206" s="406"/>
      <c r="HD206" s="406"/>
      <c r="HE206" s="406"/>
      <c r="HF206" s="406"/>
      <c r="HG206" s="406"/>
      <c r="HH206" s="406"/>
      <c r="HI206" s="406"/>
      <c r="HJ206" s="406"/>
      <c r="HK206" s="406"/>
      <c r="HL206" s="406"/>
      <c r="HM206" s="406"/>
      <c r="HN206" s="406"/>
      <c r="HO206" s="406"/>
      <c r="HP206" s="406"/>
      <c r="HQ206" s="406"/>
      <c r="HR206" s="406"/>
      <c r="HS206" s="406"/>
      <c r="HT206" s="406"/>
      <c r="HU206" s="406"/>
      <c r="HV206" s="406"/>
      <c r="HW206" s="406"/>
      <c r="HX206" s="406"/>
      <c r="HY206" s="406"/>
      <c r="HZ206" s="406"/>
      <c r="IA206" s="406"/>
      <c r="IB206" s="406"/>
      <c r="IC206" s="406"/>
      <c r="ID206" s="406"/>
      <c r="IE206" s="406"/>
      <c r="IF206" s="406"/>
      <c r="IG206" s="406"/>
      <c r="IH206" s="406"/>
      <c r="II206" s="406"/>
      <c r="IJ206" s="406"/>
      <c r="IK206" s="406"/>
      <c r="IL206" s="406"/>
      <c r="IM206" s="406"/>
      <c r="IN206" s="406"/>
      <c r="IO206" s="406"/>
      <c r="IP206" s="406"/>
      <c r="IQ206" s="406"/>
      <c r="IR206" s="406"/>
      <c r="IS206" s="406"/>
      <c r="IT206" s="406"/>
      <c r="IU206" s="406"/>
      <c r="IV206" s="406"/>
      <c r="IW206" s="406"/>
    </row>
    <row r="207" customFormat="false" ht="12.75" hidden="false" customHeight="true" outlineLevel="0" collapsed="false">
      <c r="A207" s="294" t="s">
        <v>343</v>
      </c>
      <c r="B207" s="294" t="s">
        <v>381</v>
      </c>
      <c r="C207" s="294" t="s">
        <v>5</v>
      </c>
      <c r="D207" s="294" t="s">
        <v>329</v>
      </c>
      <c r="E207" s="359" t="n">
        <v>25071</v>
      </c>
      <c r="F207" s="294" t="s">
        <v>385</v>
      </c>
      <c r="H207" s="378" t="n">
        <v>39782</v>
      </c>
      <c r="I207" s="360" t="n">
        <v>30000</v>
      </c>
      <c r="M207" s="361" t="s">
        <v>386</v>
      </c>
      <c r="N207" s="360" t="n">
        <f aca="false">(N192*N$204)+(4000*N$1)</f>
        <v>812200</v>
      </c>
      <c r="O207" s="360" t="n">
        <f aca="false">(O192*O$204)+(4000*O$1)</f>
        <v>733600</v>
      </c>
      <c r="P207" s="360" t="n">
        <f aca="false">(P192*P$204)+(3500*P$1)</f>
        <v>917600</v>
      </c>
      <c r="Q207" s="360" t="n">
        <f aca="false">(Q192*Q$204)+(4000*Q$1)</f>
        <v>831000</v>
      </c>
      <c r="R207" s="360" t="n">
        <f aca="false">R192*R$204</f>
        <v>911400</v>
      </c>
      <c r="S207" s="360" t="n">
        <f aca="false">S192*S$204</f>
        <v>819000</v>
      </c>
      <c r="T207" s="360" t="n">
        <f aca="false">(T192*T$204)+(3500*T$1)</f>
        <v>926900</v>
      </c>
      <c r="U207" s="360" t="n">
        <f aca="false">U192*U$204</f>
        <v>883500</v>
      </c>
      <c r="V207" s="360" t="n">
        <f aca="false">V192*V$204</f>
        <v>783000</v>
      </c>
      <c r="W207" s="360" t="n">
        <f aca="false">W192*W$204</f>
        <v>883500</v>
      </c>
      <c r="X207" s="360" t="n">
        <f aca="false">X192*X$204</f>
        <v>900000</v>
      </c>
      <c r="Y207" s="360" t="n">
        <f aca="false">Y192*Y$204</f>
        <v>911400</v>
      </c>
    </row>
    <row r="208" customFormat="false" ht="12.75" hidden="false" customHeight="true" outlineLevel="0" collapsed="false">
      <c r="A208" s="294" t="s">
        <v>343</v>
      </c>
      <c r="B208" s="294" t="s">
        <v>381</v>
      </c>
      <c r="C208" s="294" t="s">
        <v>5</v>
      </c>
      <c r="D208" s="294" t="s">
        <v>329</v>
      </c>
      <c r="E208" s="359" t="n">
        <v>25700</v>
      </c>
      <c r="F208" s="294" t="s">
        <v>385</v>
      </c>
      <c r="H208" s="378" t="n">
        <v>37621</v>
      </c>
      <c r="I208" s="360" t="n">
        <v>25000</v>
      </c>
      <c r="M208" s="361" t="s">
        <v>387</v>
      </c>
      <c r="N208" s="360" t="n">
        <f aca="false">(N193*N$204)+(5000*N$1)</f>
        <v>728500</v>
      </c>
      <c r="O208" s="360" t="n">
        <f aca="false">(O193*O$204)+(5000*O$1)</f>
        <v>658000</v>
      </c>
      <c r="P208" s="360" t="n">
        <f aca="false">(P193*P$204)+(3200*P$1)</f>
        <v>773450</v>
      </c>
      <c r="Q208" s="360" t="n">
        <f aca="false">(Q193*Q$204)+(5000*Q$1)</f>
        <v>742500</v>
      </c>
      <c r="R208" s="360" t="n">
        <f aca="false">R193*R$204</f>
        <v>759500</v>
      </c>
      <c r="S208" s="360" t="n">
        <f aca="false">S193*S$204</f>
        <v>682500</v>
      </c>
      <c r="T208" s="360" t="n">
        <f aca="false">(T193*T$204)+(3000*T$1)</f>
        <v>775000</v>
      </c>
      <c r="U208" s="360" t="n">
        <f aca="false">U193*U$204</f>
        <v>736250</v>
      </c>
      <c r="V208" s="360" t="n">
        <f aca="false">V193*V$204</f>
        <v>652500</v>
      </c>
      <c r="W208" s="360" t="n">
        <f aca="false">W193*W$204</f>
        <v>736250</v>
      </c>
      <c r="X208" s="360" t="n">
        <f aca="false">X193*X$204</f>
        <v>750000</v>
      </c>
      <c r="Y208" s="360" t="n">
        <f aca="false">Y193*Y$204</f>
        <v>759500</v>
      </c>
    </row>
    <row r="209" customFormat="false" ht="12.75" hidden="false" customHeight="true" outlineLevel="0" collapsed="false">
      <c r="A209" s="294" t="s">
        <v>343</v>
      </c>
      <c r="B209" s="294" t="s">
        <v>381</v>
      </c>
      <c r="C209" s="294" t="s">
        <v>5</v>
      </c>
      <c r="D209" s="294" t="s">
        <v>329</v>
      </c>
      <c r="E209" s="359" t="n">
        <v>26125</v>
      </c>
      <c r="F209" s="294" t="s">
        <v>388</v>
      </c>
      <c r="H209" s="378" t="n">
        <v>37772</v>
      </c>
      <c r="I209" s="360" t="n">
        <v>8600</v>
      </c>
      <c r="M209" s="361" t="s">
        <v>387</v>
      </c>
      <c r="N209" s="360" t="n">
        <f aca="false">N194*N$204</f>
        <v>197284</v>
      </c>
      <c r="O209" s="360" t="n">
        <f aca="false">O194*O$204</f>
        <v>178192</v>
      </c>
      <c r="P209" s="360" t="n">
        <f aca="false">(P194*P$204)+(1000*P$1)</f>
        <v>262942</v>
      </c>
      <c r="Q209" s="360" t="n">
        <f aca="false">Q194*Q$204</f>
        <v>203820</v>
      </c>
      <c r="R209" s="360" t="n">
        <f aca="false">R194*R$204</f>
        <v>261268</v>
      </c>
      <c r="S209" s="360" t="n">
        <f aca="false">S194*S$204</f>
        <v>234780</v>
      </c>
      <c r="T209" s="360" t="n">
        <f aca="false">(T194*T$204)+(1000*T$1)</f>
        <v>265608</v>
      </c>
      <c r="U209" s="360" t="n">
        <f aca="false">U194*U$204</f>
        <v>253270</v>
      </c>
      <c r="V209" s="360" t="n">
        <f aca="false">V194*V$204</f>
        <v>224460</v>
      </c>
      <c r="W209" s="360" t="n">
        <f aca="false">W194*W$204</f>
        <v>253270</v>
      </c>
      <c r="X209" s="360" t="n">
        <f aca="false">X194*X$204</f>
        <v>258000</v>
      </c>
      <c r="Y209" s="360" t="n">
        <f aca="false">Y194*Y$204</f>
        <v>261268</v>
      </c>
    </row>
    <row r="210" customFormat="false" ht="12.75" hidden="false" customHeight="true" outlineLevel="0" collapsed="false">
      <c r="A210" s="294" t="s">
        <v>343</v>
      </c>
      <c r="B210" s="294" t="s">
        <v>381</v>
      </c>
      <c r="C210" s="294" t="s">
        <v>5</v>
      </c>
      <c r="D210" s="294" t="s">
        <v>329</v>
      </c>
      <c r="E210" s="359" t="n">
        <v>26813</v>
      </c>
      <c r="F210" s="294" t="s">
        <v>389</v>
      </c>
      <c r="H210" s="378" t="n">
        <v>39569</v>
      </c>
      <c r="I210" s="360" t="n">
        <v>3500</v>
      </c>
      <c r="M210" s="361" t="s">
        <v>396</v>
      </c>
      <c r="N210" s="360" t="n">
        <f aca="false">N195*N$204</f>
        <v>80290</v>
      </c>
      <c r="O210" s="360" t="n">
        <f aca="false">O195*O$204</f>
        <v>72520</v>
      </c>
      <c r="P210" s="360" t="n">
        <f aca="false">(P195*P$204)+(300*P$1)</f>
        <v>103695</v>
      </c>
      <c r="Q210" s="360" t="n">
        <f aca="false">Q195*Q$204</f>
        <v>82950</v>
      </c>
      <c r="R210" s="360" t="n">
        <f aca="false">R195*R$204</f>
        <v>106330</v>
      </c>
      <c r="S210" s="360" t="n">
        <f aca="false">S195*S$204</f>
        <v>95550</v>
      </c>
      <c r="T210" s="360" t="n">
        <f aca="false">(T195*T$204)+(400*T$1)</f>
        <v>107880</v>
      </c>
      <c r="U210" s="360" t="n">
        <f aca="false">U195*U$204</f>
        <v>103075</v>
      </c>
      <c r="V210" s="360" t="n">
        <f aca="false">V195*V$204</f>
        <v>91350</v>
      </c>
      <c r="W210" s="360" t="n">
        <f aca="false">W195*W$204</f>
        <v>103075</v>
      </c>
      <c r="X210" s="360" t="n">
        <f aca="false">X195*X$204</f>
        <v>105000</v>
      </c>
      <c r="Y210" s="360" t="n">
        <f aca="false">Y195*Y$204</f>
        <v>106330</v>
      </c>
    </row>
    <row r="211" customFormat="false" ht="12.75" hidden="false" customHeight="true" outlineLevel="0" collapsed="false">
      <c r="A211" s="294" t="s">
        <v>343</v>
      </c>
      <c r="B211" s="294" t="s">
        <v>381</v>
      </c>
      <c r="C211" s="294" t="s">
        <v>5</v>
      </c>
      <c r="D211" s="294" t="s">
        <v>329</v>
      </c>
      <c r="E211" s="359" t="n">
        <v>26816</v>
      </c>
      <c r="F211" s="294" t="s">
        <v>347</v>
      </c>
      <c r="H211" s="378" t="n">
        <v>38472</v>
      </c>
      <c r="I211" s="360" t="n">
        <v>21500</v>
      </c>
      <c r="M211" s="361" t="s">
        <v>346</v>
      </c>
      <c r="N211" s="360" t="n">
        <f aca="false">N196*N$204</f>
        <v>493210</v>
      </c>
      <c r="O211" s="360" t="n">
        <f aca="false">O196*O$204</f>
        <v>445480</v>
      </c>
      <c r="P211" s="360" t="n">
        <f aca="false">(P196*P$204)+(2500*P$1)</f>
        <v>657355</v>
      </c>
      <c r="Q211" s="360" t="n">
        <f aca="false">Q196*Q$204</f>
        <v>509550</v>
      </c>
      <c r="R211" s="360" t="n">
        <f aca="false">R196*R$204</f>
        <v>653170</v>
      </c>
      <c r="S211" s="360" t="n">
        <f aca="false">S196*S$204</f>
        <v>586950</v>
      </c>
      <c r="T211" s="360" t="n">
        <f aca="false">(T196*T$204)+(2500*T$1)</f>
        <v>664020</v>
      </c>
      <c r="U211" s="360" t="n">
        <f aca="false">U196*U$204</f>
        <v>633175</v>
      </c>
      <c r="V211" s="360" t="n">
        <f aca="false">V196*V$204</f>
        <v>561150</v>
      </c>
      <c r="W211" s="360" t="n">
        <f aca="false">W196*W$204</f>
        <v>633175</v>
      </c>
      <c r="X211" s="360" t="n">
        <f aca="false">X196*X$204</f>
        <v>645000</v>
      </c>
      <c r="Y211" s="360" t="n">
        <f aca="false">Y196*Y$204</f>
        <v>653170</v>
      </c>
    </row>
    <row r="212" customFormat="false" ht="12.75" hidden="false" customHeight="true" outlineLevel="0" collapsed="false">
      <c r="A212" s="294" t="s">
        <v>343</v>
      </c>
      <c r="B212" s="294" t="s">
        <v>381</v>
      </c>
      <c r="C212" s="294" t="s">
        <v>5</v>
      </c>
      <c r="D212" s="294" t="s">
        <v>329</v>
      </c>
      <c r="E212" s="359" t="n">
        <v>26960</v>
      </c>
      <c r="F212" s="294" t="s">
        <v>390</v>
      </c>
      <c r="G212" s="375" t="n">
        <v>36617</v>
      </c>
      <c r="H212" s="378" t="n">
        <v>37346</v>
      </c>
      <c r="I212" s="360" t="n">
        <v>20000</v>
      </c>
      <c r="M212" s="361" t="s">
        <v>346</v>
      </c>
      <c r="N212" s="360" t="n">
        <f aca="false">N197*N$204</f>
        <v>458800</v>
      </c>
      <c r="O212" s="360" t="n">
        <f aca="false">O197*O$204</f>
        <v>414400</v>
      </c>
      <c r="P212" s="360" t="n">
        <f aca="false">(P197*P$204)+(2500*P$1)</f>
        <v>616900</v>
      </c>
      <c r="Q212" s="360" t="n">
        <f aca="false">Q197*Q$204</f>
        <v>474000</v>
      </c>
      <c r="R212" s="360" t="n">
        <f aca="false">R197*R$204</f>
        <v>607600</v>
      </c>
      <c r="S212" s="360" t="n">
        <f aca="false">S197*S$204</f>
        <v>546000</v>
      </c>
      <c r="T212" s="360" t="n">
        <f aca="false">(T197*T$204)+(2400*T$1)</f>
        <v>620000</v>
      </c>
      <c r="U212" s="360" t="n">
        <f aca="false">U197*U$204</f>
        <v>589000</v>
      </c>
      <c r="V212" s="360" t="n">
        <f aca="false">V197*V$204</f>
        <v>522000</v>
      </c>
      <c r="W212" s="360" t="n">
        <f aca="false">W197*W$204</f>
        <v>589000</v>
      </c>
      <c r="X212" s="360" t="n">
        <f aca="false">X197*X$204</f>
        <v>600000</v>
      </c>
      <c r="Y212" s="360" t="n">
        <f aca="false">Y197*Y$204</f>
        <v>607600</v>
      </c>
    </row>
    <row r="213" customFormat="false" ht="12.75" hidden="false" customHeight="true" outlineLevel="0" collapsed="false">
      <c r="A213" s="294" t="s">
        <v>343</v>
      </c>
      <c r="B213" s="294" t="s">
        <v>381</v>
      </c>
      <c r="C213" s="294" t="s">
        <v>5</v>
      </c>
      <c r="D213" s="294" t="s">
        <v>329</v>
      </c>
      <c r="E213" s="359" t="n">
        <v>26719</v>
      </c>
      <c r="F213" s="294" t="s">
        <v>391</v>
      </c>
      <c r="G213" s="375"/>
      <c r="H213" s="378" t="n">
        <v>38472</v>
      </c>
      <c r="I213" s="360" t="n">
        <v>25000</v>
      </c>
      <c r="M213" s="361" t="s">
        <v>346</v>
      </c>
      <c r="N213" s="360" t="n">
        <f aca="false">(N198*N$204)+(5000*N$1)</f>
        <v>728500</v>
      </c>
      <c r="O213" s="360" t="n">
        <f aca="false">(O198*O$204)+(5000*O$1)</f>
        <v>658000</v>
      </c>
      <c r="P213" s="360" t="n">
        <f aca="false">(P198*P$204)+(3000*P$1)</f>
        <v>767250</v>
      </c>
      <c r="Q213" s="360" t="n">
        <f aca="false">(Q198*Q$204)+(5000*Q$1)</f>
        <v>742500</v>
      </c>
      <c r="R213" s="360" t="n">
        <f aca="false">R198*R$204</f>
        <v>759500</v>
      </c>
      <c r="S213" s="360" t="n">
        <f aca="false">S198*S$204</f>
        <v>682500</v>
      </c>
      <c r="T213" s="360" t="n">
        <f aca="false">(T198*T$204)+(3000*T$1)</f>
        <v>775000</v>
      </c>
      <c r="U213" s="360" t="n">
        <f aca="false">U198*U$204</f>
        <v>736250</v>
      </c>
      <c r="V213" s="360" t="n">
        <f aca="false">V198*V$204</f>
        <v>652500</v>
      </c>
      <c r="W213" s="360" t="n">
        <f aca="false">W198*W$204</f>
        <v>736250</v>
      </c>
      <c r="X213" s="360" t="n">
        <f aca="false">X198*X$204</f>
        <v>750000</v>
      </c>
      <c r="Y213" s="360" t="n">
        <f aca="false">Y198*Y$204</f>
        <v>759500</v>
      </c>
    </row>
    <row r="214" customFormat="false" ht="12.75" hidden="false" customHeight="true" outlineLevel="0" collapsed="false">
      <c r="A214" s="294" t="s">
        <v>343</v>
      </c>
      <c r="B214" s="294" t="s">
        <v>381</v>
      </c>
      <c r="C214" s="294" t="s">
        <v>5</v>
      </c>
      <c r="D214" s="294" t="s">
        <v>329</v>
      </c>
      <c r="E214" s="359" t="n">
        <v>26884</v>
      </c>
      <c r="F214" s="294" t="s">
        <v>392</v>
      </c>
      <c r="H214" s="378" t="n">
        <v>38656</v>
      </c>
      <c r="I214" s="360" t="n">
        <v>40000</v>
      </c>
      <c r="M214" s="361" t="s">
        <v>346</v>
      </c>
      <c r="N214" s="360" t="n">
        <f aca="false">(N199*N$204)+(8000*N$1)</f>
        <v>1165600</v>
      </c>
      <c r="O214" s="360" t="n">
        <f aca="false">(O199*O$204)+(8000*O$1)</f>
        <v>1052800</v>
      </c>
      <c r="P214" s="360" t="n">
        <f aca="false">(P199*P$204)+(5000*P$1)</f>
        <v>1233800</v>
      </c>
      <c r="Q214" s="360" t="n">
        <f aca="false">(Q199*Q$204)+(8000*Q$1)</f>
        <v>1188000</v>
      </c>
      <c r="R214" s="360" t="n">
        <f aca="false">R199*R$204</f>
        <v>1215200</v>
      </c>
      <c r="S214" s="360" t="n">
        <f aca="false">S199*S$204</f>
        <v>1092000</v>
      </c>
      <c r="T214" s="360" t="n">
        <f aca="false">(T199*T$204)+(4800*T$1)</f>
        <v>1240000</v>
      </c>
      <c r="U214" s="360" t="n">
        <f aca="false">U199*U$204</f>
        <v>1178000</v>
      </c>
      <c r="V214" s="360" t="n">
        <f aca="false">V199*V$204</f>
        <v>1044000</v>
      </c>
      <c r="W214" s="360" t="n">
        <f aca="false">W199*W$204</f>
        <v>1178000</v>
      </c>
      <c r="X214" s="360" t="n">
        <f aca="false">X199*X$204</f>
        <v>1200000</v>
      </c>
      <c r="Y214" s="360" t="n">
        <f aca="false">Y199*Y$204</f>
        <v>1215200</v>
      </c>
    </row>
    <row r="215" customFormat="false" ht="12.75" hidden="false" customHeight="true" outlineLevel="0" collapsed="false">
      <c r="A215" s="315" t="s">
        <v>343</v>
      </c>
      <c r="B215" s="315" t="s">
        <v>381</v>
      </c>
      <c r="C215" s="315" t="s">
        <v>5</v>
      </c>
      <c r="D215" s="315" t="s">
        <v>329</v>
      </c>
      <c r="E215" s="429" t="s">
        <v>393</v>
      </c>
      <c r="F215" s="315" t="s">
        <v>361</v>
      </c>
      <c r="G215" s="430" t="n">
        <v>37196</v>
      </c>
      <c r="H215" s="431" t="n">
        <v>37256</v>
      </c>
      <c r="I215" s="432" t="n">
        <v>15000</v>
      </c>
      <c r="W215" s="432"/>
      <c r="X215" s="432" t="n">
        <f aca="false">X200</f>
        <v>450000</v>
      </c>
      <c r="Y215" s="432" t="n">
        <f aca="false">Y200</f>
        <v>465000</v>
      </c>
    </row>
    <row r="216" customFormat="false" ht="12.75" hidden="false" customHeight="true" outlineLevel="0" collapsed="false">
      <c r="A216" s="380" t="s">
        <v>343</v>
      </c>
      <c r="B216" s="380" t="s">
        <v>381</v>
      </c>
      <c r="C216" s="380" t="s">
        <v>5</v>
      </c>
      <c r="D216" s="380" t="s">
        <v>329</v>
      </c>
      <c r="E216" s="379" t="n">
        <v>27457</v>
      </c>
      <c r="F216" s="380" t="s">
        <v>394</v>
      </c>
      <c r="G216" s="387"/>
      <c r="H216" s="376" t="n">
        <v>37256</v>
      </c>
      <c r="I216" s="396" t="n">
        <v>13500</v>
      </c>
      <c r="N216" s="368"/>
      <c r="O216" s="368"/>
      <c r="P216" s="368"/>
      <c r="Q216" s="368"/>
      <c r="R216" s="368"/>
      <c r="S216" s="368"/>
      <c r="T216" s="368"/>
      <c r="U216" s="368"/>
      <c r="V216" s="368"/>
      <c r="W216" s="368"/>
      <c r="X216" s="368"/>
      <c r="Y216" s="396" t="n">
        <f aca="false">Y201*Y$204</f>
        <v>410130</v>
      </c>
    </row>
    <row r="217" customFormat="false" ht="12.75" hidden="false" customHeight="true" outlineLevel="0" collapsed="false">
      <c r="I217" s="360" t="n">
        <f aca="false">SUM(I205:I216)</f>
        <v>212100</v>
      </c>
      <c r="N217" s="360" t="n">
        <f aca="false">SUM(N205:N216)</f>
        <v>4893784</v>
      </c>
      <c r="O217" s="360" t="n">
        <f aca="false">SUM(O205:O216)</f>
        <v>4420192</v>
      </c>
      <c r="P217" s="360" t="n">
        <f aca="false">SUM(P205:P216)</f>
        <v>5633692</v>
      </c>
      <c r="Q217" s="360" t="n">
        <f aca="false">SUM(Q205:Q216)</f>
        <v>831320</v>
      </c>
      <c r="R217" s="360" t="n">
        <f aca="false">SUM(R205:R216)</f>
        <v>2482768</v>
      </c>
      <c r="S217" s="360" t="n">
        <f aca="false">SUM(S205:S216)</f>
        <v>5012280</v>
      </c>
      <c r="T217" s="360" t="n">
        <f aca="false">SUM(T205:T216)</f>
        <v>5684408</v>
      </c>
      <c r="U217" s="360" t="n">
        <f aca="false">SUM(U205:U216)</f>
        <v>5407020</v>
      </c>
      <c r="V217" s="360" t="n">
        <f aca="false">SUM(V205:V216)</f>
        <v>4791960</v>
      </c>
      <c r="W217" s="360" t="n">
        <f aca="false">SUM(W205:W216)</f>
        <v>5407020</v>
      </c>
      <c r="X217" s="360" t="n">
        <f aca="false">SUM(X205:X216)</f>
        <v>5958000</v>
      </c>
      <c r="Y217" s="360" t="n">
        <f aca="false">SUM(Y205:Y216)</f>
        <v>6452898</v>
      </c>
      <c r="Z217" s="417"/>
    </row>
    <row r="220" customFormat="false" ht="12.75" hidden="false" customHeight="true" outlineLevel="0" collapsed="false">
      <c r="A220" s="294" t="s">
        <v>343</v>
      </c>
      <c r="B220" s="294" t="s">
        <v>381</v>
      </c>
      <c r="C220" s="294" t="s">
        <v>6</v>
      </c>
      <c r="D220" s="294" t="s">
        <v>332</v>
      </c>
      <c r="E220" s="359" t="n">
        <v>24670</v>
      </c>
      <c r="F220" s="294" t="s">
        <v>382</v>
      </c>
      <c r="H220" s="359" t="s">
        <v>383</v>
      </c>
      <c r="K220" s="357" t="n">
        <v>0.1464</v>
      </c>
      <c r="L220" s="294" t="n">
        <v>0.0186</v>
      </c>
      <c r="M220" s="361" t="s">
        <v>384</v>
      </c>
      <c r="N220" s="360" t="n">
        <f aca="false">N191*($K220+$L220)-N234</f>
        <v>46883.16</v>
      </c>
      <c r="O220" s="360" t="n">
        <f aca="false">O191*($K220+$L220)-O234</f>
        <v>42346.08</v>
      </c>
      <c r="P220" s="360" t="n">
        <f aca="false">P191*(0.1514+$L220)-P234</f>
        <v>47106.98</v>
      </c>
      <c r="Q220" s="360" t="n">
        <f aca="false">Q191*(0.1514+$L220)-Q234</f>
        <v>46591.8</v>
      </c>
      <c r="R220" s="360" t="n">
        <f aca="false">R191*(0.1514+$L220)-R234</f>
        <v>47049.32</v>
      </c>
      <c r="S220" s="360" t="n">
        <f aca="false">S191*(0.1514+$L220)-S234</f>
        <v>45922.2</v>
      </c>
      <c r="T220" s="360" t="n">
        <f aca="false">T191*(0.1514+$L220)-T234</f>
        <v>46934</v>
      </c>
      <c r="U220" s="360" t="n">
        <f aca="false">U191*(0.1514+$L220)-U234</f>
        <v>47222.3</v>
      </c>
      <c r="V220" s="360" t="n">
        <f aca="false">V191*(0.1514+$L220)-V234</f>
        <v>46145.4</v>
      </c>
      <c r="W220" s="360" t="n">
        <f aca="false">W191*(0.1514+$L220)-W234</f>
        <v>47222.3</v>
      </c>
      <c r="X220" s="360" t="n">
        <f aca="false">X191*(0.1514+$L220)-X234</f>
        <v>45420</v>
      </c>
      <c r="Y220" s="360" t="n">
        <f aca="false">Y191*(0.1514+$L220)-Y234</f>
        <v>47049.32</v>
      </c>
    </row>
    <row r="221" customFormat="false" ht="12.75" hidden="false" customHeight="true" outlineLevel="0" collapsed="false">
      <c r="A221" s="294" t="s">
        <v>343</v>
      </c>
      <c r="B221" s="294" t="s">
        <v>381</v>
      </c>
      <c r="C221" s="294" t="s">
        <v>6</v>
      </c>
      <c r="D221" s="294" t="s">
        <v>332</v>
      </c>
      <c r="E221" s="359" t="n">
        <v>25071</v>
      </c>
      <c r="F221" s="294" t="s">
        <v>385</v>
      </c>
      <c r="H221" s="378" t="n">
        <v>39782</v>
      </c>
      <c r="K221" s="357" t="n">
        <v>0.1564</v>
      </c>
      <c r="L221" s="294" t="n">
        <v>0.0186</v>
      </c>
      <c r="M221" s="361" t="s">
        <v>386</v>
      </c>
      <c r="N221" s="360" t="n">
        <f aca="false">N192*($K221+$L221)-N236</f>
        <v>147643.08</v>
      </c>
      <c r="O221" s="360" t="n">
        <f aca="false">O192*($K221+$L221)-O236</f>
        <v>133355.04</v>
      </c>
      <c r="P221" s="360" t="n">
        <f aca="false">P192*($K221+$L221)-P236</f>
        <v>145682.64</v>
      </c>
      <c r="Q221" s="360" t="n">
        <f aca="false">Q192*($K221+$L221)-Q236</f>
        <v>142043.4</v>
      </c>
      <c r="R221" s="360" t="n">
        <f aca="false">R192*($K221+$L221)-R236</f>
        <v>145797.96</v>
      </c>
      <c r="S221" s="360" t="n">
        <f aca="false">S192*($K221+$L221)-S236</f>
        <v>142266.6</v>
      </c>
      <c r="T221" s="360" t="n">
        <f aca="false">T192*($K221+$L221)-T236</f>
        <v>145509.66</v>
      </c>
      <c r="U221" s="360" t="n">
        <f aca="false">U192*($K221+$L221)-U236</f>
        <v>146316.9</v>
      </c>
      <c r="V221" s="360" t="n">
        <f aca="false">V192*($K221+$L221)-V236</f>
        <v>142936.2</v>
      </c>
      <c r="W221" s="360" t="n">
        <f aca="false">W192*($K221+$L221)-W236</f>
        <v>146316.9</v>
      </c>
      <c r="X221" s="360" t="n">
        <f aca="false">X192*($K221+$L221)-X236</f>
        <v>140760</v>
      </c>
      <c r="Y221" s="360" t="n">
        <f aca="false">Y192*(0.1614+$L221)-Y236</f>
        <v>150447.96</v>
      </c>
    </row>
    <row r="222" customFormat="false" ht="12.75" hidden="false" customHeight="true" outlineLevel="0" collapsed="false">
      <c r="A222" s="294" t="s">
        <v>343</v>
      </c>
      <c r="B222" s="294" t="s">
        <v>381</v>
      </c>
      <c r="C222" s="294" t="s">
        <v>6</v>
      </c>
      <c r="D222" s="294" t="s">
        <v>332</v>
      </c>
      <c r="E222" s="359" t="n">
        <v>25700</v>
      </c>
      <c r="F222" s="294" t="s">
        <v>385</v>
      </c>
      <c r="H222" s="378" t="n">
        <v>37621</v>
      </c>
      <c r="K222" s="357" t="n">
        <v>0.1714</v>
      </c>
      <c r="L222" s="294" t="n">
        <v>0.0186</v>
      </c>
      <c r="M222" s="361" t="s">
        <v>387</v>
      </c>
      <c r="N222" s="360" t="n">
        <f aca="false">N193*($K222+$L222)-N237</f>
        <v>133699.9</v>
      </c>
      <c r="O222" s="360" t="n">
        <f aca="false">O193*($K222+$L222)-O237</f>
        <v>120761.2</v>
      </c>
      <c r="P222" s="360" t="n">
        <f aca="false">P193*($K222+$L222)-P237</f>
        <v>132863.83</v>
      </c>
      <c r="Q222" s="360" t="n">
        <f aca="false">Q193*($K222+$L222)-Q237</f>
        <v>128689.5</v>
      </c>
      <c r="R222" s="360" t="n">
        <f aca="false">R193*($K222+$L222)-R237</f>
        <v>133123.3</v>
      </c>
      <c r="S222" s="360" t="n">
        <f aca="false">S193*($K222+$L222)-S237</f>
        <v>129805.5</v>
      </c>
      <c r="T222" s="360" t="n">
        <f aca="false">T193*($K222+$L222)-T237</f>
        <v>132835</v>
      </c>
      <c r="U222" s="360" t="n">
        <f aca="false">U193*($K222+$L222)-U237</f>
        <v>133555.75</v>
      </c>
      <c r="V222" s="360" t="n">
        <f aca="false">V193*($K222+$L222)-V237</f>
        <v>130363.5</v>
      </c>
      <c r="W222" s="360" t="n">
        <f aca="false">W193*($K222+$L222)-W237</f>
        <v>133555.75</v>
      </c>
      <c r="X222" s="360" t="n">
        <f aca="false">X193*($K222+$L222)-X237</f>
        <v>128550</v>
      </c>
      <c r="Y222" s="360" t="n">
        <f aca="false">Y193*($K222+$L222)-Y237</f>
        <v>133123.3</v>
      </c>
    </row>
    <row r="223" customFormat="false" ht="12.75" hidden="false" customHeight="true" outlineLevel="0" collapsed="false">
      <c r="A223" s="294" t="s">
        <v>343</v>
      </c>
      <c r="B223" s="294" t="s">
        <v>381</v>
      </c>
      <c r="C223" s="294" t="s">
        <v>6</v>
      </c>
      <c r="D223" s="294" t="s">
        <v>332</v>
      </c>
      <c r="E223" s="359" t="n">
        <v>26125</v>
      </c>
      <c r="F223" s="294" t="s">
        <v>388</v>
      </c>
      <c r="H223" s="378" t="n">
        <v>37772</v>
      </c>
      <c r="K223" s="357" t="n">
        <v>0.1114</v>
      </c>
      <c r="L223" s="294" t="n">
        <v>0.0186</v>
      </c>
      <c r="M223" s="361" t="s">
        <v>387</v>
      </c>
      <c r="N223" s="360" t="n">
        <f aca="false">N194*($K223+$L223)-N238</f>
        <v>30988.5176</v>
      </c>
      <c r="O223" s="360" t="n">
        <f aca="false">O194*($K223+$L223)-O238</f>
        <v>27989.6288</v>
      </c>
      <c r="P223" s="360" t="n">
        <f aca="false">P194*($K223+$L223)-P238</f>
        <v>29767.2788</v>
      </c>
      <c r="Q223" s="360" t="n">
        <f aca="false">Q194*($K223+$L223)-Q238</f>
        <v>29748.948</v>
      </c>
      <c r="R223" s="360" t="n">
        <f aca="false">R194*($K223+$L223)-R238</f>
        <v>29798.4152</v>
      </c>
      <c r="S223" s="360" t="n">
        <f aca="false">S194*($K223+$L223)-S238</f>
        <v>29173.092</v>
      </c>
      <c r="T223" s="360" t="n">
        <f aca="false">T194*($K223+$L223)-T238</f>
        <v>29717.6912</v>
      </c>
      <c r="U223" s="360" t="n">
        <f aca="false">U194*($K223+$L223)-U238</f>
        <v>29947.178</v>
      </c>
      <c r="V223" s="360" t="n">
        <f aca="false">V194*($K223+$L223)-V238</f>
        <v>29365.044</v>
      </c>
      <c r="W223" s="360" t="n">
        <f aca="false">W194*($K223+$L223)-W238</f>
        <v>29947.178</v>
      </c>
      <c r="X223" s="360" t="n">
        <f aca="false">X194*($K223+$L223)-X238</f>
        <v>28741.2</v>
      </c>
      <c r="Y223" s="360" t="n">
        <f aca="false">Y194*($K223+$L223)-Y238</f>
        <v>29798.4152</v>
      </c>
    </row>
    <row r="224" customFormat="false" ht="12.75" hidden="false" customHeight="true" outlineLevel="0" collapsed="false">
      <c r="A224" s="294" t="s">
        <v>343</v>
      </c>
      <c r="B224" s="294" t="s">
        <v>381</v>
      </c>
      <c r="C224" s="294" t="s">
        <v>6</v>
      </c>
      <c r="D224" s="294" t="s">
        <v>332</v>
      </c>
      <c r="E224" s="359" t="n">
        <v>26813</v>
      </c>
      <c r="F224" s="294" t="s">
        <v>389</v>
      </c>
      <c r="H224" s="378" t="n">
        <v>39569</v>
      </c>
      <c r="K224" s="357" t="n">
        <v>0.1739</v>
      </c>
      <c r="L224" s="294" t="n">
        <v>0.0186</v>
      </c>
      <c r="M224" s="361" t="s">
        <v>396</v>
      </c>
      <c r="N224" s="360" t="n">
        <f aca="false">N195*($K224+$L224)-N239</f>
        <v>19392.856</v>
      </c>
      <c r="O224" s="360" t="n">
        <f aca="false">O195*($K224+$L224)-O239</f>
        <v>17516.128</v>
      </c>
      <c r="P224" s="360" t="n">
        <f aca="false">P195*($K224+$L224)-P239</f>
        <v>18957.523</v>
      </c>
      <c r="Q224" s="360" t="n">
        <f aca="false">Q195*($K224+$L224)-Q239</f>
        <v>18669.63</v>
      </c>
      <c r="R224" s="360" t="n">
        <f aca="false">R195*($K224+$L224)-R239</f>
        <v>18908.512</v>
      </c>
      <c r="S224" s="360" t="n">
        <f aca="false">S195*($K224+$L224)-S239</f>
        <v>18435.27</v>
      </c>
      <c r="T224" s="360" t="n">
        <f aca="false">T195*($K224+$L224)-T239</f>
        <v>18879.682</v>
      </c>
      <c r="U224" s="360" t="n">
        <f aca="false">U195*($K224+$L224)-U239</f>
        <v>18969.055</v>
      </c>
      <c r="V224" s="360" t="n">
        <f aca="false">V195*($K224+$L224)-V239</f>
        <v>18513.39</v>
      </c>
      <c r="W224" s="360" t="n">
        <f aca="false">W195*($K224+$L224)-W239</f>
        <v>18969.055</v>
      </c>
      <c r="X224" s="360" t="n">
        <f aca="false">X195*($K224+$L224)-X239</f>
        <v>18259.5</v>
      </c>
      <c r="Y224" s="360" t="n">
        <f aca="false">Y195*($K224+$L224)-Y239</f>
        <v>18908.512</v>
      </c>
    </row>
    <row r="225" customFormat="false" ht="12.75" hidden="false" customHeight="true" outlineLevel="0" collapsed="false">
      <c r="A225" s="294" t="s">
        <v>343</v>
      </c>
      <c r="B225" s="294" t="s">
        <v>381</v>
      </c>
      <c r="C225" s="294" t="s">
        <v>6</v>
      </c>
      <c r="D225" s="294" t="s">
        <v>332</v>
      </c>
      <c r="E225" s="359" t="n">
        <v>26816</v>
      </c>
      <c r="F225" s="294" t="s">
        <v>347</v>
      </c>
      <c r="H225" s="378" t="n">
        <v>38472</v>
      </c>
      <c r="K225" s="357" t="n">
        <v>0.1514</v>
      </c>
      <c r="L225" s="294" t="n">
        <v>0.0186</v>
      </c>
      <c r="M225" s="361" t="s">
        <v>346</v>
      </c>
      <c r="N225" s="360" t="n">
        <f aca="false">N196*($K225+$L225)-N240</f>
        <v>104131.294</v>
      </c>
      <c r="O225" s="360" t="n">
        <f aca="false">O196*($K225+$L225)-O240</f>
        <v>94054.072</v>
      </c>
      <c r="P225" s="360" t="n">
        <f aca="false">P196*($K225+$L225)-P240</f>
        <v>101078.197</v>
      </c>
      <c r="Q225" s="360" t="n">
        <f aca="false">Q196*($K225+$L225)-Q240</f>
        <v>100172.37</v>
      </c>
      <c r="R225" s="360" t="n">
        <f aca="false">R196*($K225+$L225)-R240</f>
        <v>101156.038</v>
      </c>
      <c r="S225" s="360" t="n">
        <f aca="false">S196*($K225+$L225)-S240</f>
        <v>98732.73</v>
      </c>
      <c r="T225" s="360" t="n">
        <f aca="false">T196*($K225+$L225)-T240</f>
        <v>100954.228</v>
      </c>
      <c r="U225" s="360" t="n">
        <f aca="false">U196*($K225+$L225)-U240</f>
        <v>101527.945</v>
      </c>
      <c r="V225" s="360" t="n">
        <f aca="false">V196*($K225+$L225)-V240</f>
        <v>99212.61</v>
      </c>
      <c r="W225" s="360" t="n">
        <f aca="false">W196*($K225+$L225)-W240</f>
        <v>101527.945</v>
      </c>
      <c r="X225" s="360" t="n">
        <f aca="false">X196*($K225+$L225)-X240</f>
        <v>97653</v>
      </c>
      <c r="Y225" s="360" t="n">
        <f aca="false">Y196*($K225+$L225)-Y240</f>
        <v>101156.038</v>
      </c>
    </row>
    <row r="226" customFormat="false" ht="12.75" hidden="false" customHeight="true" outlineLevel="0" collapsed="false">
      <c r="A226" s="294" t="s">
        <v>343</v>
      </c>
      <c r="B226" s="294" t="s">
        <v>381</v>
      </c>
      <c r="C226" s="294" t="s">
        <v>6</v>
      </c>
      <c r="D226" s="294" t="s">
        <v>332</v>
      </c>
      <c r="E226" s="359" t="n">
        <v>26960</v>
      </c>
      <c r="F226" s="294" t="s">
        <v>390</v>
      </c>
      <c r="G226" s="375" t="n">
        <v>36617</v>
      </c>
      <c r="H226" s="378" t="n">
        <v>37346</v>
      </c>
      <c r="K226" s="357" t="n">
        <v>0.1714</v>
      </c>
      <c r="L226" s="294" t="n">
        <v>0.0186</v>
      </c>
      <c r="M226" s="361" t="s">
        <v>346</v>
      </c>
      <c r="N226" s="360" t="n">
        <f aca="false">N197*($K226+$L226)-N241</f>
        <v>109266.32</v>
      </c>
      <c r="O226" s="360" t="n">
        <f aca="false">O197*($K226+$L226)-O241</f>
        <v>98692.16</v>
      </c>
      <c r="P226" s="360" t="n">
        <f aca="false">P197*($K226+$L226)-P241</f>
        <v>106325.66</v>
      </c>
      <c r="Q226" s="360" t="n">
        <f aca="false">Q197*($K226+$L226)-Q241</f>
        <v>105183.6</v>
      </c>
      <c r="R226" s="360" t="n">
        <f aca="false">R197*($K226+$L226)-R241</f>
        <v>106498.64</v>
      </c>
      <c r="S226" s="360" t="n">
        <f aca="false">S197*($K226+$L226)-S241</f>
        <v>103844.4</v>
      </c>
      <c r="T226" s="360" t="n">
        <f aca="false">T197*($K226+$L226)-T241</f>
        <v>106268</v>
      </c>
      <c r="U226" s="360" t="n">
        <f aca="false">U197*($K226+$L226)-U241</f>
        <v>106844.6</v>
      </c>
      <c r="V226" s="360" t="n">
        <f aca="false">V197*($K226+$L226)-V241</f>
        <v>104290.8</v>
      </c>
      <c r="W226" s="360" t="n">
        <f aca="false">W197*($K226+$L226)-W241</f>
        <v>106844.6</v>
      </c>
      <c r="X226" s="360" t="n">
        <f aca="false">X197*($K226+$L226)-X241</f>
        <v>102840</v>
      </c>
      <c r="Y226" s="360" t="n">
        <f aca="false">Y197*($K226+$L226)-Y241</f>
        <v>106498.64</v>
      </c>
    </row>
    <row r="227" customFormat="false" ht="12.75" hidden="false" customHeight="true" outlineLevel="0" collapsed="false">
      <c r="A227" s="294" t="s">
        <v>343</v>
      </c>
      <c r="B227" s="294" t="s">
        <v>381</v>
      </c>
      <c r="C227" s="294" t="s">
        <v>6</v>
      </c>
      <c r="D227" s="294" t="s">
        <v>332</v>
      </c>
      <c r="E227" s="359" t="n">
        <v>26719</v>
      </c>
      <c r="F227" s="294" t="s">
        <v>391</v>
      </c>
      <c r="G227" s="375"/>
      <c r="H227" s="378" t="n">
        <v>38472</v>
      </c>
      <c r="K227" s="357" t="n">
        <v>0.1864</v>
      </c>
      <c r="L227" s="294" t="n">
        <v>0.0186</v>
      </c>
      <c r="M227" s="361" t="s">
        <v>346</v>
      </c>
      <c r="N227" s="360" t="n">
        <f aca="false">N198*($K227+$L227)-N242</f>
        <v>145324.9</v>
      </c>
      <c r="O227" s="360" t="n">
        <f aca="false">O198*($K227+$L227)-O242</f>
        <v>131261.2</v>
      </c>
      <c r="P227" s="360" t="n">
        <f aca="false">P198*($K227+$L227)-P242</f>
        <v>144604.15</v>
      </c>
      <c r="Q227" s="360" t="n">
        <f aca="false">Q198*($K227+$L227)-Q242</f>
        <v>139939.5</v>
      </c>
      <c r="R227" s="360" t="n">
        <f aca="false">R198*($K227+$L227)-R242</f>
        <v>144748.3</v>
      </c>
      <c r="S227" s="360" t="n">
        <f aca="false">S198*($K227+$L227)-S242</f>
        <v>141055.5</v>
      </c>
      <c r="T227" s="360" t="n">
        <f aca="false">T198*($K227+$L227)-T242</f>
        <v>144460</v>
      </c>
      <c r="U227" s="360" t="n">
        <f aca="false">U198*($K227+$L227)-U242</f>
        <v>145180.75</v>
      </c>
      <c r="V227" s="360" t="n">
        <f aca="false">V198*($K227+$L227)-V242</f>
        <v>141613.5</v>
      </c>
      <c r="W227" s="360" t="n">
        <f aca="false">W198*($K227+$L227)-W242</f>
        <v>145180.75</v>
      </c>
      <c r="X227" s="360" t="n">
        <f aca="false">X198*($K227+$L227)-X242</f>
        <v>139800</v>
      </c>
      <c r="Y227" s="360" t="n">
        <f aca="false">Y198*($K227+$L227)-Y242</f>
        <v>144748.3</v>
      </c>
    </row>
    <row r="228" customFormat="false" ht="12.75" hidden="false" customHeight="true" outlineLevel="0" collapsed="false">
      <c r="A228" s="294" t="s">
        <v>343</v>
      </c>
      <c r="B228" s="294" t="s">
        <v>381</v>
      </c>
      <c r="C228" s="294" t="s">
        <v>6</v>
      </c>
      <c r="D228" s="294" t="s">
        <v>332</v>
      </c>
      <c r="E228" s="359" t="n">
        <v>26884</v>
      </c>
      <c r="F228" s="294" t="s">
        <v>392</v>
      </c>
      <c r="H228" s="378" t="n">
        <v>38656</v>
      </c>
      <c r="K228" s="357" t="n">
        <v>0.1839</v>
      </c>
      <c r="L228" s="294" t="n">
        <v>0.0186</v>
      </c>
      <c r="M228" s="361" t="s">
        <v>346</v>
      </c>
      <c r="N228" s="360" t="n">
        <f aca="false">N199*($K228+$L228)-N243</f>
        <v>229419.84</v>
      </c>
      <c r="O228" s="360" t="n">
        <f aca="false">O199*($K228+$L228)-O243</f>
        <v>207217.92</v>
      </c>
      <c r="P228" s="360" t="n">
        <f aca="false">P199*($K228+$L228)-P243</f>
        <v>228151.32</v>
      </c>
      <c r="Q228" s="360" t="n">
        <f aca="false">Q199*($K228+$L228)-Q243</f>
        <v>220903.2</v>
      </c>
      <c r="R228" s="360" t="n">
        <f aca="false">R199*($K228+$L228)-R243</f>
        <v>228497.28</v>
      </c>
      <c r="S228" s="360" t="n">
        <f aca="false">S199*($K228+$L228)-S243</f>
        <v>222688.8</v>
      </c>
      <c r="T228" s="360" t="n">
        <f aca="false">T199*($K228+$L228)-T243</f>
        <v>228036</v>
      </c>
      <c r="U228" s="360" t="n">
        <f aca="false">U199*($K228+$L228)-U243</f>
        <v>229189.2</v>
      </c>
      <c r="V228" s="360" t="n">
        <f aca="false">V199*($K228+$L228)-V243</f>
        <v>223581.6</v>
      </c>
      <c r="W228" s="360" t="n">
        <f aca="false">W199*($K228+$L228)-W243</f>
        <v>229189.2</v>
      </c>
      <c r="X228" s="360" t="n">
        <f aca="false">X199*($K228+$L228)-X243</f>
        <v>220680</v>
      </c>
      <c r="Y228" s="360" t="n">
        <f aca="false">Y199*($K228+$L228)-Y243</f>
        <v>228497.28</v>
      </c>
    </row>
    <row r="229" customFormat="false" ht="12.75" hidden="false" customHeight="true" outlineLevel="0" collapsed="false">
      <c r="A229" s="315" t="s">
        <v>343</v>
      </c>
      <c r="B229" s="315" t="s">
        <v>381</v>
      </c>
      <c r="C229" s="315" t="s">
        <v>6</v>
      </c>
      <c r="D229" s="315" t="s">
        <v>332</v>
      </c>
      <c r="E229" s="429" t="s">
        <v>393</v>
      </c>
      <c r="F229" s="315" t="s">
        <v>361</v>
      </c>
      <c r="G229" s="430" t="n">
        <v>37196</v>
      </c>
      <c r="H229" s="431" t="n">
        <v>37256</v>
      </c>
      <c r="I229" s="432" t="n">
        <v>15000</v>
      </c>
      <c r="J229" s="315"/>
      <c r="K229" s="433" t="n">
        <v>0.1815</v>
      </c>
      <c r="L229" s="315" t="n">
        <v>0.0185</v>
      </c>
      <c r="M229" s="434" t="s">
        <v>346</v>
      </c>
      <c r="N229" s="432"/>
      <c r="O229" s="432"/>
      <c r="P229" s="432"/>
      <c r="Q229" s="432"/>
      <c r="R229" s="432"/>
      <c r="S229" s="432"/>
      <c r="T229" s="432"/>
      <c r="U229" s="432"/>
      <c r="V229" s="432"/>
      <c r="W229" s="432"/>
      <c r="X229" s="432" t="n">
        <f aca="false">X200*($K229+$L229)-X244</f>
        <v>81675</v>
      </c>
      <c r="Y229" s="432" t="n">
        <f aca="false">Y200*($K229+$L229)-Y244</f>
        <v>84397.5</v>
      </c>
      <c r="Z229" s="315"/>
      <c r="AA229" s="315"/>
      <c r="AB229" s="315"/>
      <c r="AC229" s="315"/>
      <c r="AD229" s="315"/>
      <c r="AE229" s="315"/>
      <c r="AF229" s="315"/>
      <c r="AG229" s="315"/>
      <c r="AH229" s="315"/>
      <c r="AI229" s="315"/>
      <c r="AJ229" s="315"/>
      <c r="AK229" s="315"/>
      <c r="AL229" s="315"/>
      <c r="AM229" s="315"/>
      <c r="AN229" s="315"/>
      <c r="AO229" s="315"/>
      <c r="AP229" s="315"/>
      <c r="AQ229" s="315"/>
      <c r="AR229" s="315"/>
      <c r="AS229" s="315"/>
      <c r="AT229" s="315"/>
      <c r="AU229" s="315"/>
      <c r="AV229" s="315"/>
      <c r="AW229" s="315"/>
      <c r="AX229" s="315"/>
      <c r="AY229" s="315"/>
      <c r="AZ229" s="315"/>
      <c r="BA229" s="315"/>
      <c r="BB229" s="315"/>
      <c r="BC229" s="315"/>
      <c r="BD229" s="315"/>
      <c r="BE229" s="315"/>
      <c r="BF229" s="315"/>
      <c r="BG229" s="315"/>
      <c r="BH229" s="315"/>
      <c r="BI229" s="315"/>
      <c r="BJ229" s="315"/>
      <c r="BK229" s="315"/>
      <c r="BL229" s="315"/>
      <c r="BM229" s="315"/>
      <c r="BN229" s="315"/>
      <c r="BO229" s="315"/>
      <c r="BP229" s="315"/>
      <c r="BQ229" s="315"/>
      <c r="BR229" s="315"/>
      <c r="BS229" s="315"/>
      <c r="BT229" s="315"/>
      <c r="BU229" s="315"/>
      <c r="BV229" s="315"/>
      <c r="BW229" s="315"/>
      <c r="BX229" s="315"/>
      <c r="BY229" s="315"/>
      <c r="BZ229" s="315"/>
      <c r="CA229" s="315"/>
      <c r="CB229" s="315"/>
      <c r="CC229" s="315"/>
      <c r="CD229" s="315"/>
      <c r="CE229" s="315"/>
      <c r="CF229" s="315"/>
      <c r="CG229" s="315"/>
      <c r="CH229" s="315"/>
      <c r="CI229" s="315"/>
      <c r="CJ229" s="315"/>
      <c r="CK229" s="315"/>
      <c r="CL229" s="315"/>
      <c r="CM229" s="315"/>
      <c r="CN229" s="315"/>
      <c r="CO229" s="315"/>
      <c r="CP229" s="315"/>
      <c r="CQ229" s="315"/>
      <c r="CR229" s="315"/>
      <c r="CS229" s="315"/>
      <c r="CT229" s="315"/>
      <c r="CU229" s="315"/>
      <c r="CV229" s="315"/>
      <c r="CW229" s="315"/>
      <c r="CX229" s="315"/>
      <c r="CY229" s="315"/>
      <c r="CZ229" s="315"/>
      <c r="DA229" s="315"/>
      <c r="DB229" s="315"/>
      <c r="DC229" s="315"/>
      <c r="DD229" s="315"/>
      <c r="DE229" s="315"/>
      <c r="DF229" s="315"/>
      <c r="DG229" s="315"/>
      <c r="DH229" s="315"/>
      <c r="DI229" s="315"/>
      <c r="DJ229" s="315"/>
      <c r="DK229" s="315"/>
      <c r="DL229" s="315"/>
      <c r="DM229" s="315"/>
      <c r="DN229" s="315"/>
      <c r="DO229" s="315"/>
      <c r="DP229" s="315"/>
      <c r="DQ229" s="315"/>
      <c r="DR229" s="315"/>
      <c r="DS229" s="315"/>
      <c r="DT229" s="315"/>
      <c r="DU229" s="315"/>
      <c r="DV229" s="315"/>
      <c r="DW229" s="315"/>
      <c r="DX229" s="315"/>
      <c r="DY229" s="315"/>
      <c r="DZ229" s="315"/>
      <c r="EA229" s="315"/>
      <c r="EB229" s="315"/>
      <c r="EC229" s="315"/>
      <c r="ED229" s="315"/>
      <c r="EE229" s="315"/>
      <c r="EF229" s="315"/>
      <c r="EG229" s="315"/>
      <c r="EH229" s="315"/>
      <c r="EI229" s="315"/>
      <c r="EJ229" s="315"/>
      <c r="EK229" s="315"/>
      <c r="EL229" s="315"/>
      <c r="EM229" s="315"/>
      <c r="EN229" s="315"/>
      <c r="EO229" s="315"/>
      <c r="EP229" s="315"/>
      <c r="EQ229" s="315"/>
      <c r="ER229" s="315"/>
      <c r="ES229" s="315"/>
      <c r="ET229" s="315"/>
      <c r="EU229" s="315"/>
      <c r="EV229" s="315"/>
      <c r="EW229" s="315"/>
      <c r="EX229" s="315"/>
      <c r="EY229" s="315"/>
      <c r="EZ229" s="315"/>
      <c r="FA229" s="315"/>
      <c r="FB229" s="315"/>
      <c r="FC229" s="315"/>
      <c r="FD229" s="315"/>
      <c r="FE229" s="315"/>
      <c r="FF229" s="315"/>
      <c r="FG229" s="315"/>
      <c r="FH229" s="315"/>
      <c r="FI229" s="315"/>
      <c r="FJ229" s="315"/>
      <c r="FK229" s="315"/>
      <c r="FL229" s="315"/>
      <c r="FM229" s="315"/>
      <c r="FN229" s="315"/>
      <c r="FO229" s="315"/>
      <c r="FP229" s="315"/>
      <c r="FQ229" s="315"/>
      <c r="FR229" s="315"/>
      <c r="FS229" s="315"/>
      <c r="FT229" s="315"/>
      <c r="FU229" s="315"/>
      <c r="FV229" s="315"/>
      <c r="FW229" s="315"/>
      <c r="FX229" s="315"/>
      <c r="FY229" s="315"/>
      <c r="FZ229" s="315"/>
      <c r="GA229" s="315"/>
      <c r="GB229" s="315"/>
      <c r="GC229" s="315"/>
      <c r="GD229" s="315"/>
      <c r="GE229" s="315"/>
      <c r="GF229" s="315"/>
      <c r="GG229" s="315"/>
      <c r="GH229" s="315"/>
      <c r="GI229" s="315"/>
      <c r="GJ229" s="315"/>
      <c r="GK229" s="315"/>
      <c r="GL229" s="315"/>
      <c r="GM229" s="315"/>
      <c r="GN229" s="315"/>
      <c r="GO229" s="315"/>
      <c r="GP229" s="315"/>
      <c r="GQ229" s="315"/>
      <c r="GR229" s="315"/>
      <c r="GS229" s="315"/>
      <c r="GT229" s="315"/>
      <c r="GU229" s="315"/>
      <c r="GV229" s="315"/>
      <c r="GW229" s="315"/>
      <c r="GX229" s="315"/>
      <c r="GY229" s="315"/>
      <c r="GZ229" s="315"/>
      <c r="HA229" s="315"/>
      <c r="HB229" s="315"/>
      <c r="HC229" s="315"/>
      <c r="HD229" s="315"/>
      <c r="HE229" s="315"/>
      <c r="HF229" s="315"/>
      <c r="HG229" s="315"/>
      <c r="HH229" s="315"/>
      <c r="HI229" s="315"/>
      <c r="HJ229" s="315"/>
      <c r="HK229" s="315"/>
      <c r="HL229" s="315"/>
      <c r="HM229" s="315"/>
      <c r="HN229" s="315"/>
      <c r="HO229" s="315"/>
      <c r="HP229" s="315"/>
      <c r="HQ229" s="315"/>
      <c r="HR229" s="315"/>
      <c r="HS229" s="315"/>
      <c r="HT229" s="315"/>
      <c r="HU229" s="315"/>
      <c r="HV229" s="315"/>
      <c r="HW229" s="315"/>
      <c r="HX229" s="315"/>
      <c r="HY229" s="315"/>
      <c r="HZ229" s="315"/>
      <c r="IA229" s="315"/>
      <c r="IB229" s="315"/>
      <c r="IC229" s="315"/>
      <c r="ID229" s="315"/>
      <c r="IE229" s="315"/>
      <c r="IF229" s="315"/>
      <c r="IG229" s="315"/>
      <c r="IH229" s="315"/>
      <c r="II229" s="315"/>
      <c r="IJ229" s="315"/>
      <c r="IK229" s="315"/>
      <c r="IL229" s="315"/>
      <c r="IM229" s="315"/>
      <c r="IN229" s="315"/>
      <c r="IO229" s="315"/>
      <c r="IP229" s="315"/>
      <c r="IQ229" s="315"/>
      <c r="IR229" s="315"/>
      <c r="IS229" s="315"/>
      <c r="IT229" s="315"/>
      <c r="IU229" s="315"/>
      <c r="IV229" s="315"/>
      <c r="IW229" s="315"/>
    </row>
    <row r="230" customFormat="false" ht="12.75" hidden="false" customHeight="true" outlineLevel="0" collapsed="false">
      <c r="A230" s="380" t="s">
        <v>343</v>
      </c>
      <c r="B230" s="380" t="s">
        <v>381</v>
      </c>
      <c r="C230" s="380" t="s">
        <v>6</v>
      </c>
      <c r="D230" s="380" t="s">
        <v>332</v>
      </c>
      <c r="E230" s="379" t="n">
        <v>27457</v>
      </c>
      <c r="F230" s="380" t="s">
        <v>394</v>
      </c>
      <c r="G230" s="387"/>
      <c r="H230" s="376" t="n">
        <v>37256</v>
      </c>
      <c r="K230" s="418" t="n">
        <v>0.9915</v>
      </c>
      <c r="L230" s="380" t="n">
        <v>0.0186</v>
      </c>
      <c r="N230" s="368"/>
      <c r="O230" s="368"/>
      <c r="P230" s="368"/>
      <c r="Q230" s="368"/>
      <c r="R230" s="368"/>
      <c r="S230" s="368"/>
      <c r="T230" s="368"/>
      <c r="U230" s="368"/>
      <c r="V230" s="368"/>
      <c r="W230" s="368"/>
      <c r="X230" s="368"/>
      <c r="Y230" s="396" t="n">
        <f aca="false">Y201*($K230+$L230)-Y245</f>
        <v>415098.432</v>
      </c>
    </row>
    <row r="231" customFormat="false" ht="12.75" hidden="false" customHeight="true" outlineLevel="0" collapsed="false">
      <c r="I231" s="360" t="n">
        <f aca="false">SUM(I220:I228)</f>
        <v>0</v>
      </c>
      <c r="N231" s="360" t="n">
        <f aca="false">SUM(N220:N230)</f>
        <v>966749.8676</v>
      </c>
      <c r="O231" s="360" t="n">
        <f aca="false">SUM(O220:O230)</f>
        <v>873193.4288</v>
      </c>
      <c r="P231" s="360" t="n">
        <f aca="false">SUM(P220:P230)</f>
        <v>954537.5788</v>
      </c>
      <c r="Q231" s="360" t="n">
        <f aca="false">SUM(Q220:Q230)</f>
        <v>931941.948</v>
      </c>
      <c r="R231" s="360" t="n">
        <f aca="false">SUM(R220:R230)</f>
        <v>955577.7652</v>
      </c>
      <c r="S231" s="360" t="n">
        <f aca="false">SUM(S220:S230)</f>
        <v>931924.092</v>
      </c>
      <c r="T231" s="360" t="n">
        <f aca="false">SUM(T220:T230)</f>
        <v>953594.2612</v>
      </c>
      <c r="U231" s="360" t="n">
        <f aca="false">SUM(U220:U230)</f>
        <v>958753.678</v>
      </c>
      <c r="V231" s="360" t="n">
        <f aca="false">SUM(V220:V230)</f>
        <v>936022.044</v>
      </c>
      <c r="W231" s="360" t="n">
        <f aca="false">SUM(W220:W230)</f>
        <v>958753.678</v>
      </c>
      <c r="X231" s="360" t="n">
        <f aca="false">SUM(X220:X230)</f>
        <v>1004378.7</v>
      </c>
      <c r="Y231" s="360" t="n">
        <f aca="false">SUM(Y220:Y230)</f>
        <v>1459723.6972</v>
      </c>
      <c r="Z231" s="417" t="n">
        <f aca="false">SUM(N231:Y231)</f>
        <v>11885150.7388</v>
      </c>
    </row>
    <row r="234" customFormat="false" ht="12.75" hidden="false" customHeight="true" outlineLevel="0" collapsed="false">
      <c r="A234" s="294" t="s">
        <v>343</v>
      </c>
      <c r="B234" s="294" t="s">
        <v>381</v>
      </c>
      <c r="C234" s="294" t="s">
        <v>6</v>
      </c>
      <c r="D234" s="294" t="s">
        <v>329</v>
      </c>
      <c r="E234" s="359" t="n">
        <v>24670</v>
      </c>
      <c r="F234" s="294" t="s">
        <v>382</v>
      </c>
      <c r="H234" s="359" t="s">
        <v>383</v>
      </c>
      <c r="K234" s="357" t="n">
        <v>0.1464</v>
      </c>
      <c r="L234" s="294" t="n">
        <v>0.0186</v>
      </c>
      <c r="M234" s="361" t="s">
        <v>384</v>
      </c>
      <c r="N234" s="360" t="n">
        <f aca="false">N205*$L234</f>
        <v>4266.84</v>
      </c>
      <c r="O234" s="360" t="n">
        <f aca="false">O205*$L234</f>
        <v>3853.92</v>
      </c>
      <c r="P234" s="360" t="n">
        <f aca="false">P205*$L234</f>
        <v>5593.02</v>
      </c>
      <c r="Q234" s="360" t="n">
        <f aca="false">Q205*$L234</f>
        <v>4408.2</v>
      </c>
      <c r="R234" s="360" t="n">
        <f aca="false">R205*$L234</f>
        <v>5650.68</v>
      </c>
      <c r="S234" s="360" t="n">
        <f aca="false">S205*$L234</f>
        <v>5077.8</v>
      </c>
      <c r="T234" s="360" t="n">
        <f aca="false">T205*$L234</f>
        <v>5766</v>
      </c>
      <c r="U234" s="360" t="n">
        <f aca="false">U205*$L234</f>
        <v>5477.7</v>
      </c>
      <c r="V234" s="360" t="n">
        <f aca="false">V205*$L234</f>
        <v>4854.6</v>
      </c>
      <c r="W234" s="360" t="n">
        <f aca="false">W205*$L234</f>
        <v>5477.7</v>
      </c>
      <c r="X234" s="360" t="n">
        <f aca="false">X205*$L234</f>
        <v>5580</v>
      </c>
      <c r="Y234" s="360" t="n">
        <f aca="false">Y205*$L234</f>
        <v>5650.68</v>
      </c>
      <c r="AF234" s="417" t="n">
        <f aca="false">SUM(N234:Y234)</f>
        <v>61657.14</v>
      </c>
    </row>
    <row r="235" customFormat="false" ht="12.75" hidden="false" customHeight="true" outlineLevel="0" collapsed="false">
      <c r="A235" s="406"/>
      <c r="B235" s="406" t="s">
        <v>364</v>
      </c>
      <c r="C235" s="406" t="s">
        <v>5</v>
      </c>
      <c r="D235" s="406" t="s">
        <v>329</v>
      </c>
      <c r="E235" s="435"/>
      <c r="F235" s="406"/>
      <c r="G235" s="406"/>
      <c r="H235" s="435"/>
      <c r="I235" s="410"/>
      <c r="J235" s="406"/>
      <c r="K235" s="411"/>
      <c r="L235" s="406" t="n">
        <v>0.0186</v>
      </c>
      <c r="M235" s="412"/>
      <c r="N235" s="410"/>
      <c r="O235" s="410"/>
      <c r="P235" s="410"/>
      <c r="Q235" s="410" t="n">
        <f aca="false">Q206*$L235</f>
        <v>-77748</v>
      </c>
      <c r="R235" s="410" t="n">
        <f aca="false">R206*$L235</f>
        <v>-57567</v>
      </c>
      <c r="S235" s="410"/>
      <c r="T235" s="410"/>
      <c r="U235" s="410"/>
      <c r="V235" s="410"/>
      <c r="W235" s="410"/>
      <c r="X235" s="410"/>
      <c r="Y235" s="410"/>
      <c r="Z235" s="406"/>
      <c r="AA235" s="406"/>
      <c r="AB235" s="406"/>
      <c r="AC235" s="406"/>
      <c r="AD235" s="406"/>
      <c r="AE235" s="406"/>
      <c r="AF235" s="420"/>
      <c r="AG235" s="406"/>
      <c r="AH235" s="406"/>
      <c r="AI235" s="406"/>
      <c r="AJ235" s="406"/>
      <c r="AK235" s="406"/>
      <c r="AL235" s="406"/>
      <c r="AM235" s="406"/>
      <c r="AN235" s="406"/>
      <c r="AO235" s="406"/>
      <c r="AP235" s="406"/>
      <c r="AQ235" s="406"/>
      <c r="AR235" s="406"/>
      <c r="AS235" s="406"/>
      <c r="AT235" s="406"/>
      <c r="AU235" s="406"/>
      <c r="AV235" s="406"/>
      <c r="AW235" s="406"/>
      <c r="AX235" s="406"/>
      <c r="AY235" s="406"/>
      <c r="AZ235" s="406"/>
      <c r="BA235" s="406"/>
      <c r="BB235" s="406"/>
      <c r="BC235" s="406"/>
      <c r="BD235" s="406"/>
      <c r="BE235" s="406"/>
      <c r="BF235" s="406"/>
      <c r="BG235" s="406"/>
      <c r="BH235" s="406"/>
      <c r="BI235" s="406"/>
      <c r="BJ235" s="406"/>
      <c r="BK235" s="406"/>
      <c r="BL235" s="406"/>
      <c r="BM235" s="406"/>
      <c r="BN235" s="406"/>
      <c r="BO235" s="406"/>
      <c r="BP235" s="406"/>
      <c r="BQ235" s="406"/>
      <c r="BR235" s="406"/>
      <c r="BS235" s="406"/>
      <c r="BT235" s="406"/>
      <c r="BU235" s="406"/>
      <c r="BV235" s="406"/>
      <c r="BW235" s="406"/>
      <c r="BX235" s="406"/>
      <c r="BY235" s="406"/>
      <c r="BZ235" s="406"/>
      <c r="CA235" s="406"/>
      <c r="CB235" s="406"/>
      <c r="CC235" s="406"/>
      <c r="CD235" s="406"/>
      <c r="CE235" s="406"/>
      <c r="CF235" s="406"/>
      <c r="CG235" s="406"/>
      <c r="CH235" s="406"/>
      <c r="CI235" s="406"/>
      <c r="CJ235" s="406"/>
      <c r="CK235" s="406"/>
      <c r="CL235" s="406"/>
      <c r="CM235" s="406"/>
      <c r="CN235" s="406"/>
      <c r="CO235" s="406"/>
      <c r="CP235" s="406"/>
      <c r="CQ235" s="406"/>
      <c r="CR235" s="406"/>
      <c r="CS235" s="406"/>
      <c r="CT235" s="406"/>
      <c r="CU235" s="406"/>
      <c r="CV235" s="406"/>
      <c r="CW235" s="406"/>
      <c r="CX235" s="406"/>
      <c r="CY235" s="406"/>
      <c r="CZ235" s="406"/>
      <c r="DA235" s="406"/>
      <c r="DB235" s="406"/>
      <c r="DC235" s="406"/>
      <c r="DD235" s="406"/>
      <c r="DE235" s="406"/>
      <c r="DF235" s="406"/>
      <c r="DG235" s="406"/>
      <c r="DH235" s="406"/>
      <c r="DI235" s="406"/>
      <c r="DJ235" s="406"/>
      <c r="DK235" s="406"/>
      <c r="DL235" s="406"/>
      <c r="DM235" s="406"/>
      <c r="DN235" s="406"/>
      <c r="DO235" s="406"/>
      <c r="DP235" s="406"/>
      <c r="DQ235" s="406"/>
      <c r="DR235" s="406"/>
      <c r="DS235" s="406"/>
      <c r="DT235" s="406"/>
      <c r="DU235" s="406"/>
      <c r="DV235" s="406"/>
      <c r="DW235" s="406"/>
      <c r="DX235" s="406"/>
      <c r="DY235" s="406"/>
      <c r="DZ235" s="406"/>
      <c r="EA235" s="406"/>
      <c r="EB235" s="406"/>
      <c r="EC235" s="406"/>
      <c r="ED235" s="406"/>
      <c r="EE235" s="406"/>
      <c r="EF235" s="406"/>
      <c r="EG235" s="406"/>
      <c r="EH235" s="406"/>
      <c r="EI235" s="406"/>
      <c r="EJ235" s="406"/>
      <c r="EK235" s="406"/>
      <c r="EL235" s="406"/>
      <c r="EM235" s="406"/>
      <c r="EN235" s="406"/>
      <c r="EO235" s="406"/>
      <c r="EP235" s="406"/>
      <c r="EQ235" s="406"/>
      <c r="ER235" s="406"/>
      <c r="ES235" s="406"/>
      <c r="ET235" s="406"/>
      <c r="EU235" s="406"/>
      <c r="EV235" s="406"/>
      <c r="EW235" s="406"/>
      <c r="EX235" s="406"/>
      <c r="EY235" s="406"/>
      <c r="EZ235" s="406"/>
      <c r="FA235" s="406"/>
      <c r="FB235" s="406"/>
      <c r="FC235" s="406"/>
      <c r="FD235" s="406"/>
      <c r="FE235" s="406"/>
      <c r="FF235" s="406"/>
      <c r="FG235" s="406"/>
      <c r="FH235" s="406"/>
      <c r="FI235" s="406"/>
      <c r="FJ235" s="406"/>
      <c r="FK235" s="406"/>
      <c r="FL235" s="406"/>
      <c r="FM235" s="406"/>
      <c r="FN235" s="406"/>
      <c r="FO235" s="406"/>
      <c r="FP235" s="406"/>
      <c r="FQ235" s="406"/>
      <c r="FR235" s="406"/>
      <c r="FS235" s="406"/>
      <c r="FT235" s="406"/>
      <c r="FU235" s="406"/>
      <c r="FV235" s="406"/>
      <c r="FW235" s="406"/>
      <c r="FX235" s="406"/>
      <c r="FY235" s="406"/>
      <c r="FZ235" s="406"/>
      <c r="GA235" s="406"/>
      <c r="GB235" s="406"/>
      <c r="GC235" s="406"/>
      <c r="GD235" s="406"/>
      <c r="GE235" s="406"/>
      <c r="GF235" s="406"/>
      <c r="GG235" s="406"/>
      <c r="GH235" s="406"/>
      <c r="GI235" s="406"/>
      <c r="GJ235" s="406"/>
      <c r="GK235" s="406"/>
      <c r="GL235" s="406"/>
      <c r="GM235" s="406"/>
      <c r="GN235" s="406"/>
      <c r="GO235" s="406"/>
      <c r="GP235" s="406"/>
      <c r="GQ235" s="406"/>
      <c r="GR235" s="406"/>
      <c r="GS235" s="406"/>
      <c r="GT235" s="406"/>
      <c r="GU235" s="406"/>
      <c r="GV235" s="406"/>
      <c r="GW235" s="406"/>
      <c r="GX235" s="406"/>
      <c r="GY235" s="406"/>
      <c r="GZ235" s="406"/>
      <c r="HA235" s="406"/>
      <c r="HB235" s="406"/>
      <c r="HC235" s="406"/>
      <c r="HD235" s="406"/>
      <c r="HE235" s="406"/>
      <c r="HF235" s="406"/>
      <c r="HG235" s="406"/>
      <c r="HH235" s="406"/>
      <c r="HI235" s="406"/>
      <c r="HJ235" s="406"/>
      <c r="HK235" s="406"/>
      <c r="HL235" s="406"/>
      <c r="HM235" s="406"/>
      <c r="HN235" s="406"/>
      <c r="HO235" s="406"/>
      <c r="HP235" s="406"/>
      <c r="HQ235" s="406"/>
      <c r="HR235" s="406"/>
      <c r="HS235" s="406"/>
      <c r="HT235" s="406"/>
      <c r="HU235" s="406"/>
      <c r="HV235" s="406"/>
      <c r="HW235" s="406"/>
      <c r="HX235" s="406"/>
      <c r="HY235" s="406"/>
      <c r="HZ235" s="406"/>
      <c r="IA235" s="406"/>
      <c r="IB235" s="406"/>
      <c r="IC235" s="406"/>
      <c r="ID235" s="406"/>
      <c r="IE235" s="406"/>
      <c r="IF235" s="406"/>
      <c r="IG235" s="406"/>
      <c r="IH235" s="406"/>
      <c r="II235" s="406"/>
      <c r="IJ235" s="406"/>
      <c r="IK235" s="406"/>
      <c r="IL235" s="406"/>
      <c r="IM235" s="406"/>
      <c r="IN235" s="406"/>
      <c r="IO235" s="406"/>
      <c r="IP235" s="406"/>
      <c r="IQ235" s="406"/>
      <c r="IR235" s="406"/>
      <c r="IS235" s="406"/>
      <c r="IT235" s="406"/>
      <c r="IU235" s="406"/>
      <c r="IV235" s="406"/>
      <c r="IW235" s="406"/>
    </row>
    <row r="236" customFormat="false" ht="12.75" hidden="false" customHeight="true" outlineLevel="0" collapsed="false">
      <c r="A236" s="294" t="s">
        <v>343</v>
      </c>
      <c r="B236" s="294" t="s">
        <v>381</v>
      </c>
      <c r="C236" s="294" t="s">
        <v>6</v>
      </c>
      <c r="D236" s="294" t="s">
        <v>329</v>
      </c>
      <c r="E236" s="359" t="n">
        <v>25071</v>
      </c>
      <c r="F236" s="294" t="s">
        <v>385</v>
      </c>
      <c r="H236" s="378" t="n">
        <v>39782</v>
      </c>
      <c r="K236" s="357" t="n">
        <v>0.1564</v>
      </c>
      <c r="L236" s="294" t="n">
        <v>0.0186</v>
      </c>
      <c r="M236" s="361" t="s">
        <v>386</v>
      </c>
      <c r="N236" s="360" t="n">
        <f aca="false">N207*$L236</f>
        <v>15106.92</v>
      </c>
      <c r="O236" s="360" t="n">
        <f aca="false">O207*$L236</f>
        <v>13644.96</v>
      </c>
      <c r="P236" s="360" t="n">
        <f aca="false">P207*$L236</f>
        <v>17067.36</v>
      </c>
      <c r="Q236" s="360" t="n">
        <f aca="false">Q207*$L236</f>
        <v>15456.6</v>
      </c>
      <c r="R236" s="360" t="n">
        <f aca="false">R207*$L236</f>
        <v>16952.04</v>
      </c>
      <c r="S236" s="360" t="n">
        <f aca="false">S207*$L236</f>
        <v>15233.4</v>
      </c>
      <c r="T236" s="360" t="n">
        <f aca="false">T207*$L236</f>
        <v>17240.34</v>
      </c>
      <c r="U236" s="360" t="n">
        <f aca="false">U207*$L236</f>
        <v>16433.1</v>
      </c>
      <c r="V236" s="360" t="n">
        <f aca="false">V207*$L236</f>
        <v>14563.8</v>
      </c>
      <c r="W236" s="360" t="n">
        <f aca="false">W207*$L236</f>
        <v>16433.1</v>
      </c>
      <c r="X236" s="360" t="n">
        <f aca="false">X207*$L236</f>
        <v>16740</v>
      </c>
      <c r="Y236" s="360" t="n">
        <f aca="false">Y207*$L236</f>
        <v>16952.04</v>
      </c>
      <c r="AF236" s="417" t="n">
        <f aca="false">SUM(N236:Y236)</f>
        <v>191823.66</v>
      </c>
    </row>
    <row r="237" customFormat="false" ht="12.75" hidden="false" customHeight="true" outlineLevel="0" collapsed="false">
      <c r="A237" s="294" t="s">
        <v>343</v>
      </c>
      <c r="B237" s="294" t="s">
        <v>381</v>
      </c>
      <c r="C237" s="294" t="s">
        <v>6</v>
      </c>
      <c r="D237" s="294" t="s">
        <v>329</v>
      </c>
      <c r="E237" s="359" t="n">
        <v>25700</v>
      </c>
      <c r="F237" s="294" t="s">
        <v>385</v>
      </c>
      <c r="H237" s="378" t="n">
        <v>37621</v>
      </c>
      <c r="K237" s="357" t="n">
        <v>0.1714</v>
      </c>
      <c r="L237" s="294" t="n">
        <v>0.0186</v>
      </c>
      <c r="M237" s="361" t="s">
        <v>387</v>
      </c>
      <c r="N237" s="360" t="n">
        <f aca="false">N208*$L237</f>
        <v>13550.1</v>
      </c>
      <c r="O237" s="360" t="n">
        <f aca="false">O208*$L237</f>
        <v>12238.8</v>
      </c>
      <c r="P237" s="360" t="n">
        <f aca="false">P208*$L237</f>
        <v>14386.17</v>
      </c>
      <c r="Q237" s="360" t="n">
        <f aca="false">Q208*$L237</f>
        <v>13810.5</v>
      </c>
      <c r="R237" s="360" t="n">
        <f aca="false">R208*$L237</f>
        <v>14126.7</v>
      </c>
      <c r="S237" s="360" t="n">
        <f aca="false">S208*$L237</f>
        <v>12694.5</v>
      </c>
      <c r="T237" s="360" t="n">
        <f aca="false">T208*$L237</f>
        <v>14415</v>
      </c>
      <c r="U237" s="360" t="n">
        <f aca="false">U208*$L237</f>
        <v>13694.25</v>
      </c>
      <c r="V237" s="360" t="n">
        <f aca="false">V208*$L237</f>
        <v>12136.5</v>
      </c>
      <c r="W237" s="360" t="n">
        <f aca="false">W208*$L237</f>
        <v>13694.25</v>
      </c>
      <c r="X237" s="360" t="n">
        <f aca="false">X208*$L237</f>
        <v>13950</v>
      </c>
      <c r="Y237" s="360" t="n">
        <f aca="false">Y208*$L237</f>
        <v>14126.7</v>
      </c>
      <c r="AF237" s="417" t="n">
        <f aca="false">SUM(N237:Y237)</f>
        <v>162823.47</v>
      </c>
    </row>
    <row r="238" customFormat="false" ht="12.75" hidden="false" customHeight="true" outlineLevel="0" collapsed="false">
      <c r="A238" s="294" t="s">
        <v>343</v>
      </c>
      <c r="B238" s="294" t="s">
        <v>381</v>
      </c>
      <c r="C238" s="294" t="s">
        <v>6</v>
      </c>
      <c r="D238" s="294" t="s">
        <v>329</v>
      </c>
      <c r="E238" s="359" t="n">
        <v>26125</v>
      </c>
      <c r="F238" s="294" t="s">
        <v>388</v>
      </c>
      <c r="H238" s="378" t="n">
        <v>37772</v>
      </c>
      <c r="K238" s="357" t="n">
        <v>0.1114</v>
      </c>
      <c r="L238" s="294" t="n">
        <v>0.0186</v>
      </c>
      <c r="M238" s="361" t="s">
        <v>387</v>
      </c>
      <c r="N238" s="360" t="n">
        <f aca="false">N209*$L238</f>
        <v>3669.4824</v>
      </c>
      <c r="O238" s="360" t="n">
        <f aca="false">O209*$L238</f>
        <v>3314.3712</v>
      </c>
      <c r="P238" s="360" t="n">
        <f aca="false">P209*$L238</f>
        <v>4890.7212</v>
      </c>
      <c r="Q238" s="360" t="n">
        <f aca="false">Q209*$L238</f>
        <v>3791.052</v>
      </c>
      <c r="R238" s="360" t="n">
        <f aca="false">R209*$L238</f>
        <v>4859.5848</v>
      </c>
      <c r="S238" s="360" t="n">
        <f aca="false">S209*$L238</f>
        <v>4366.908</v>
      </c>
      <c r="T238" s="360" t="n">
        <f aca="false">T209*$L238</f>
        <v>4940.3088</v>
      </c>
      <c r="U238" s="360" t="n">
        <f aca="false">U209*$L238</f>
        <v>4710.822</v>
      </c>
      <c r="V238" s="360" t="n">
        <f aca="false">V209*$L238</f>
        <v>4174.956</v>
      </c>
      <c r="W238" s="360" t="n">
        <f aca="false">W209*$L238</f>
        <v>4710.822</v>
      </c>
      <c r="X238" s="360" t="n">
        <f aca="false">X209*$L238</f>
        <v>4798.8</v>
      </c>
      <c r="Y238" s="360" t="n">
        <f aca="false">Y209*$L238</f>
        <v>4859.5848</v>
      </c>
      <c r="AF238" s="417" t="n">
        <f aca="false">SUM(N238:Y238)</f>
        <v>53087.4132</v>
      </c>
    </row>
    <row r="239" customFormat="false" ht="12.75" hidden="false" customHeight="true" outlineLevel="0" collapsed="false">
      <c r="A239" s="294" t="s">
        <v>343</v>
      </c>
      <c r="B239" s="294" t="s">
        <v>381</v>
      </c>
      <c r="C239" s="294" t="s">
        <v>6</v>
      </c>
      <c r="D239" s="294" t="s">
        <v>329</v>
      </c>
      <c r="E239" s="359" t="n">
        <v>26813</v>
      </c>
      <c r="F239" s="294" t="s">
        <v>389</v>
      </c>
      <c r="H239" s="378" t="n">
        <v>39569</v>
      </c>
      <c r="K239" s="357" t="n">
        <v>0.1739</v>
      </c>
      <c r="L239" s="294" t="n">
        <v>0.0186</v>
      </c>
      <c r="M239" s="361" t="s">
        <v>396</v>
      </c>
      <c r="N239" s="360" t="n">
        <f aca="false">N210*$L239</f>
        <v>1493.394</v>
      </c>
      <c r="O239" s="360" t="n">
        <f aca="false">O210*$L239</f>
        <v>1348.872</v>
      </c>
      <c r="P239" s="360" t="n">
        <f aca="false">P210*$L239</f>
        <v>1928.727</v>
      </c>
      <c r="Q239" s="360" t="n">
        <f aca="false">Q210*$L239</f>
        <v>1542.87</v>
      </c>
      <c r="R239" s="360" t="n">
        <f aca="false">R210*$L239</f>
        <v>1977.738</v>
      </c>
      <c r="S239" s="360" t="n">
        <f aca="false">S210*$L239</f>
        <v>1777.23</v>
      </c>
      <c r="T239" s="360" t="n">
        <f aca="false">T210*$L239</f>
        <v>2006.568</v>
      </c>
      <c r="U239" s="360" t="n">
        <f aca="false">U210*$L239</f>
        <v>1917.195</v>
      </c>
      <c r="V239" s="360" t="n">
        <f aca="false">V210*$L239</f>
        <v>1699.11</v>
      </c>
      <c r="W239" s="360" t="n">
        <f aca="false">W210*$L239</f>
        <v>1917.195</v>
      </c>
      <c r="X239" s="360" t="n">
        <f aca="false">X210*$L239</f>
        <v>1953</v>
      </c>
      <c r="Y239" s="360" t="n">
        <f aca="false">Y210*$L239</f>
        <v>1977.738</v>
      </c>
      <c r="AF239" s="417" t="n">
        <f aca="false">SUM(N239:Y239)</f>
        <v>21539.637</v>
      </c>
    </row>
    <row r="240" customFormat="false" ht="12.75" hidden="false" customHeight="true" outlineLevel="0" collapsed="false">
      <c r="A240" s="294" t="s">
        <v>343</v>
      </c>
      <c r="B240" s="294" t="s">
        <v>381</v>
      </c>
      <c r="C240" s="294" t="s">
        <v>6</v>
      </c>
      <c r="D240" s="294" t="s">
        <v>329</v>
      </c>
      <c r="E240" s="359" t="n">
        <v>26816</v>
      </c>
      <c r="F240" s="294" t="s">
        <v>347</v>
      </c>
      <c r="H240" s="378" t="n">
        <v>38472</v>
      </c>
      <c r="K240" s="357" t="n">
        <v>0.1514</v>
      </c>
      <c r="L240" s="294" t="n">
        <v>0.0186</v>
      </c>
      <c r="M240" s="361" t="s">
        <v>346</v>
      </c>
      <c r="N240" s="360" t="n">
        <f aca="false">N211*$L240</f>
        <v>9173.706</v>
      </c>
      <c r="O240" s="360" t="n">
        <f aca="false">O211*$L240</f>
        <v>8285.928</v>
      </c>
      <c r="P240" s="360" t="n">
        <f aca="false">P211*$L240</f>
        <v>12226.803</v>
      </c>
      <c r="Q240" s="360" t="n">
        <f aca="false">Q211*$L240</f>
        <v>9477.63</v>
      </c>
      <c r="R240" s="360" t="n">
        <f aca="false">R211*$L240</f>
        <v>12148.962</v>
      </c>
      <c r="S240" s="360" t="n">
        <f aca="false">S211*$L240</f>
        <v>10917.27</v>
      </c>
      <c r="T240" s="360" t="n">
        <f aca="false">T211*$L240</f>
        <v>12350.772</v>
      </c>
      <c r="U240" s="360" t="n">
        <f aca="false">U211*$L240</f>
        <v>11777.055</v>
      </c>
      <c r="V240" s="360" t="n">
        <f aca="false">V211*$L240</f>
        <v>10437.39</v>
      </c>
      <c r="W240" s="360" t="n">
        <f aca="false">W211*$L240</f>
        <v>11777.055</v>
      </c>
      <c r="X240" s="360" t="n">
        <f aca="false">X211*$L240</f>
        <v>11997</v>
      </c>
      <c r="Y240" s="360" t="n">
        <f aca="false">Y211*$L240</f>
        <v>12148.962</v>
      </c>
      <c r="AF240" s="417" t="n">
        <f aca="false">SUM(N240:Y240)</f>
        <v>132718.533</v>
      </c>
    </row>
    <row r="241" customFormat="false" ht="12.75" hidden="false" customHeight="true" outlineLevel="0" collapsed="false">
      <c r="A241" s="294" t="s">
        <v>343</v>
      </c>
      <c r="B241" s="294" t="s">
        <v>381</v>
      </c>
      <c r="C241" s="294" t="s">
        <v>6</v>
      </c>
      <c r="D241" s="294" t="s">
        <v>329</v>
      </c>
      <c r="E241" s="359" t="n">
        <v>26960</v>
      </c>
      <c r="F241" s="294" t="s">
        <v>390</v>
      </c>
      <c r="G241" s="375" t="n">
        <v>36617</v>
      </c>
      <c r="H241" s="378" t="n">
        <v>37346</v>
      </c>
      <c r="K241" s="357" t="n">
        <v>0.1714</v>
      </c>
      <c r="L241" s="294" t="n">
        <v>0.0186</v>
      </c>
      <c r="M241" s="361" t="s">
        <v>346</v>
      </c>
      <c r="N241" s="360" t="n">
        <f aca="false">N212*$L241</f>
        <v>8533.68</v>
      </c>
      <c r="O241" s="360" t="n">
        <f aca="false">O212*$L241</f>
        <v>7707.84</v>
      </c>
      <c r="P241" s="360" t="n">
        <f aca="false">P212*$L241</f>
        <v>11474.34</v>
      </c>
      <c r="Q241" s="360" t="n">
        <f aca="false">Q212*$L241</f>
        <v>8816.4</v>
      </c>
      <c r="R241" s="360" t="n">
        <f aca="false">R212*$L241</f>
        <v>11301.36</v>
      </c>
      <c r="S241" s="360" t="n">
        <f aca="false">S212*$L241</f>
        <v>10155.6</v>
      </c>
      <c r="T241" s="360" t="n">
        <f aca="false">T212*$L241</f>
        <v>11532</v>
      </c>
      <c r="U241" s="360" t="n">
        <f aca="false">U212*$L241</f>
        <v>10955.4</v>
      </c>
      <c r="V241" s="360" t="n">
        <f aca="false">V212*$L241</f>
        <v>9709.2</v>
      </c>
      <c r="W241" s="360" t="n">
        <f aca="false">W212*$L241</f>
        <v>10955.4</v>
      </c>
      <c r="X241" s="360" t="n">
        <f aca="false">X212*$L241</f>
        <v>11160</v>
      </c>
      <c r="Y241" s="360" t="n">
        <f aca="false">Y212*$L241</f>
        <v>11301.36</v>
      </c>
      <c r="AF241" s="417" t="n">
        <f aca="false">SUM(N241:Y241)</f>
        <v>123602.58</v>
      </c>
    </row>
    <row r="242" customFormat="false" ht="12.75" hidden="false" customHeight="true" outlineLevel="0" collapsed="false">
      <c r="E242" s="359" t="n">
        <v>26719</v>
      </c>
      <c r="F242" s="294" t="s">
        <v>391</v>
      </c>
      <c r="G242" s="375"/>
      <c r="H242" s="378" t="n">
        <v>38472</v>
      </c>
      <c r="K242" s="357" t="n">
        <v>0.1864</v>
      </c>
      <c r="L242" s="294" t="n">
        <v>0.0186</v>
      </c>
      <c r="M242" s="361" t="s">
        <v>346</v>
      </c>
      <c r="N242" s="360" t="n">
        <f aca="false">N213*$L242</f>
        <v>13550.1</v>
      </c>
      <c r="O242" s="360" t="n">
        <f aca="false">O213*$L242</f>
        <v>12238.8</v>
      </c>
      <c r="P242" s="360" t="n">
        <f aca="false">P213*$L242</f>
        <v>14270.85</v>
      </c>
      <c r="Q242" s="360" t="n">
        <f aca="false">Q213*$L242</f>
        <v>13810.5</v>
      </c>
      <c r="R242" s="360" t="n">
        <f aca="false">R213*$L242</f>
        <v>14126.7</v>
      </c>
      <c r="S242" s="360" t="n">
        <f aca="false">S213*$L242</f>
        <v>12694.5</v>
      </c>
      <c r="T242" s="360" t="n">
        <f aca="false">T213*$L242</f>
        <v>14415</v>
      </c>
      <c r="U242" s="360" t="n">
        <f aca="false">U213*$L242</f>
        <v>13694.25</v>
      </c>
      <c r="V242" s="360" t="n">
        <f aca="false">V213*$L242</f>
        <v>12136.5</v>
      </c>
      <c r="W242" s="360" t="n">
        <f aca="false">W213*$L242</f>
        <v>13694.25</v>
      </c>
      <c r="X242" s="360" t="n">
        <f aca="false">X213*$L242</f>
        <v>13950</v>
      </c>
      <c r="Y242" s="360" t="n">
        <f aca="false">Y213*$L242</f>
        <v>14126.7</v>
      </c>
      <c r="AF242" s="417" t="n">
        <f aca="false">SUM(N242:Y242)</f>
        <v>162708.15</v>
      </c>
    </row>
    <row r="243" customFormat="false" ht="12.75" hidden="false" customHeight="true" outlineLevel="0" collapsed="false">
      <c r="A243" s="294" t="s">
        <v>343</v>
      </c>
      <c r="B243" s="294" t="s">
        <v>381</v>
      </c>
      <c r="C243" s="294" t="s">
        <v>6</v>
      </c>
      <c r="D243" s="294" t="s">
        <v>329</v>
      </c>
      <c r="E243" s="359" t="n">
        <v>26884</v>
      </c>
      <c r="F243" s="294" t="s">
        <v>392</v>
      </c>
      <c r="H243" s="378" t="n">
        <v>38656</v>
      </c>
      <c r="K243" s="357" t="n">
        <v>0.1839</v>
      </c>
      <c r="L243" s="294" t="n">
        <v>0.0186</v>
      </c>
      <c r="M243" s="361" t="s">
        <v>346</v>
      </c>
      <c r="N243" s="360" t="n">
        <f aca="false">N214*$L243</f>
        <v>21680.16</v>
      </c>
      <c r="O243" s="360" t="n">
        <f aca="false">O214*$L243</f>
        <v>19582.08</v>
      </c>
      <c r="P243" s="360" t="n">
        <f aca="false">P214*$L243</f>
        <v>22948.68</v>
      </c>
      <c r="Q243" s="360" t="n">
        <f aca="false">Q214*$L243</f>
        <v>22096.8</v>
      </c>
      <c r="R243" s="360" t="n">
        <f aca="false">R214*$L243</f>
        <v>22602.72</v>
      </c>
      <c r="S243" s="360" t="n">
        <f aca="false">S214*$L243</f>
        <v>20311.2</v>
      </c>
      <c r="T243" s="360" t="n">
        <f aca="false">T214*$L243</f>
        <v>23064</v>
      </c>
      <c r="U243" s="360" t="n">
        <f aca="false">U214*$L243</f>
        <v>21910.8</v>
      </c>
      <c r="V243" s="360" t="n">
        <f aca="false">V214*$L243</f>
        <v>19418.4</v>
      </c>
      <c r="W243" s="360" t="n">
        <f aca="false">W214*$L243</f>
        <v>21910.8</v>
      </c>
      <c r="X243" s="360" t="n">
        <f aca="false">X214*$L243</f>
        <v>22320</v>
      </c>
      <c r="Y243" s="360" t="n">
        <f aca="false">Y214*$L243</f>
        <v>22602.72</v>
      </c>
      <c r="AF243" s="417" t="n">
        <f aca="false">SUM(N243:Y243)</f>
        <v>260448.36</v>
      </c>
    </row>
    <row r="244" customFormat="false" ht="12.75" hidden="false" customHeight="true" outlineLevel="0" collapsed="false">
      <c r="A244" s="315" t="s">
        <v>343</v>
      </c>
      <c r="B244" s="315" t="s">
        <v>381</v>
      </c>
      <c r="C244" s="315" t="s">
        <v>6</v>
      </c>
      <c r="D244" s="315" t="s">
        <v>329</v>
      </c>
      <c r="E244" s="429" t="s">
        <v>393</v>
      </c>
      <c r="F244" s="315" t="s">
        <v>361</v>
      </c>
      <c r="G244" s="430" t="n">
        <v>37196</v>
      </c>
      <c r="H244" s="431" t="n">
        <v>37256</v>
      </c>
      <c r="I244" s="432" t="n">
        <v>15000</v>
      </c>
      <c r="J244" s="315"/>
      <c r="K244" s="433" t="n">
        <v>0.1815</v>
      </c>
      <c r="L244" s="315" t="n">
        <v>0.0185</v>
      </c>
      <c r="M244" s="434" t="s">
        <v>346</v>
      </c>
      <c r="N244" s="432"/>
      <c r="O244" s="432"/>
      <c r="P244" s="432"/>
      <c r="Q244" s="432"/>
      <c r="R244" s="432"/>
      <c r="S244" s="432"/>
      <c r="T244" s="432"/>
      <c r="U244" s="432"/>
      <c r="V244" s="432"/>
      <c r="W244" s="432"/>
      <c r="X244" s="432" t="n">
        <f aca="false">X215*$L244</f>
        <v>8325</v>
      </c>
      <c r="Y244" s="432" t="n">
        <f aca="false">Y215*$L244</f>
        <v>8602.5</v>
      </c>
      <c r="Z244" s="315"/>
      <c r="AA244" s="315"/>
      <c r="AB244" s="315"/>
      <c r="AC244" s="315"/>
      <c r="AD244" s="315"/>
      <c r="AE244" s="315"/>
      <c r="AF244" s="436"/>
      <c r="AG244" s="315"/>
      <c r="AH244" s="315"/>
      <c r="AI244" s="315"/>
      <c r="AJ244" s="315"/>
      <c r="AK244" s="315"/>
      <c r="AL244" s="315"/>
      <c r="AM244" s="315"/>
      <c r="AN244" s="315"/>
      <c r="AO244" s="315"/>
      <c r="AP244" s="315"/>
      <c r="AQ244" s="315"/>
      <c r="AR244" s="315"/>
      <c r="AS244" s="315"/>
      <c r="AT244" s="315"/>
      <c r="AU244" s="315"/>
      <c r="AV244" s="315"/>
      <c r="AW244" s="315"/>
      <c r="AX244" s="315"/>
      <c r="AY244" s="315"/>
      <c r="AZ244" s="315"/>
      <c r="BA244" s="315"/>
      <c r="BB244" s="315"/>
      <c r="BC244" s="315"/>
      <c r="BD244" s="315"/>
      <c r="BE244" s="315"/>
      <c r="BF244" s="315"/>
      <c r="BG244" s="315"/>
      <c r="BH244" s="315"/>
      <c r="BI244" s="315"/>
      <c r="BJ244" s="315"/>
      <c r="BK244" s="315"/>
      <c r="BL244" s="315"/>
      <c r="BM244" s="315"/>
      <c r="BN244" s="315"/>
      <c r="BO244" s="315"/>
      <c r="BP244" s="315"/>
      <c r="BQ244" s="315"/>
      <c r="BR244" s="315"/>
      <c r="BS244" s="315"/>
      <c r="BT244" s="315"/>
      <c r="BU244" s="315"/>
      <c r="BV244" s="315"/>
      <c r="BW244" s="315"/>
      <c r="BX244" s="315"/>
      <c r="BY244" s="315"/>
      <c r="BZ244" s="315"/>
      <c r="CA244" s="315"/>
      <c r="CB244" s="315"/>
      <c r="CC244" s="315"/>
      <c r="CD244" s="315"/>
      <c r="CE244" s="315"/>
      <c r="CF244" s="315"/>
      <c r="CG244" s="315"/>
      <c r="CH244" s="315"/>
      <c r="CI244" s="315"/>
      <c r="CJ244" s="315"/>
      <c r="CK244" s="315"/>
      <c r="CL244" s="315"/>
      <c r="CM244" s="315"/>
      <c r="CN244" s="315"/>
      <c r="CO244" s="315"/>
      <c r="CP244" s="315"/>
      <c r="CQ244" s="315"/>
      <c r="CR244" s="315"/>
      <c r="CS244" s="315"/>
      <c r="CT244" s="315"/>
      <c r="CU244" s="315"/>
      <c r="CV244" s="315"/>
      <c r="CW244" s="315"/>
      <c r="CX244" s="315"/>
      <c r="CY244" s="315"/>
      <c r="CZ244" s="315"/>
      <c r="DA244" s="315"/>
      <c r="DB244" s="315"/>
      <c r="DC244" s="315"/>
      <c r="DD244" s="315"/>
      <c r="DE244" s="315"/>
      <c r="DF244" s="315"/>
      <c r="DG244" s="315"/>
      <c r="DH244" s="315"/>
      <c r="DI244" s="315"/>
      <c r="DJ244" s="315"/>
      <c r="DK244" s="315"/>
      <c r="DL244" s="315"/>
      <c r="DM244" s="315"/>
      <c r="DN244" s="315"/>
      <c r="DO244" s="315"/>
      <c r="DP244" s="315"/>
      <c r="DQ244" s="315"/>
      <c r="DR244" s="315"/>
      <c r="DS244" s="315"/>
      <c r="DT244" s="315"/>
      <c r="DU244" s="315"/>
      <c r="DV244" s="315"/>
      <c r="DW244" s="315"/>
      <c r="DX244" s="315"/>
      <c r="DY244" s="315"/>
      <c r="DZ244" s="315"/>
      <c r="EA244" s="315"/>
      <c r="EB244" s="315"/>
      <c r="EC244" s="315"/>
      <c r="ED244" s="315"/>
      <c r="EE244" s="315"/>
      <c r="EF244" s="315"/>
      <c r="EG244" s="315"/>
      <c r="EH244" s="315"/>
      <c r="EI244" s="315"/>
      <c r="EJ244" s="315"/>
      <c r="EK244" s="315"/>
      <c r="EL244" s="315"/>
      <c r="EM244" s="315"/>
      <c r="EN244" s="315"/>
      <c r="EO244" s="315"/>
      <c r="EP244" s="315"/>
      <c r="EQ244" s="315"/>
      <c r="ER244" s="315"/>
      <c r="ES244" s="315"/>
      <c r="ET244" s="315"/>
      <c r="EU244" s="315"/>
      <c r="EV244" s="315"/>
      <c r="EW244" s="315"/>
      <c r="EX244" s="315"/>
      <c r="EY244" s="315"/>
      <c r="EZ244" s="315"/>
      <c r="FA244" s="315"/>
      <c r="FB244" s="315"/>
      <c r="FC244" s="315"/>
      <c r="FD244" s="315"/>
      <c r="FE244" s="315"/>
      <c r="FF244" s="315"/>
      <c r="FG244" s="315"/>
      <c r="FH244" s="315"/>
      <c r="FI244" s="315"/>
      <c r="FJ244" s="315"/>
      <c r="FK244" s="315"/>
      <c r="FL244" s="315"/>
      <c r="FM244" s="315"/>
      <c r="FN244" s="315"/>
      <c r="FO244" s="315"/>
      <c r="FP244" s="315"/>
      <c r="FQ244" s="315"/>
      <c r="FR244" s="315"/>
      <c r="FS244" s="315"/>
      <c r="FT244" s="315"/>
      <c r="FU244" s="315"/>
      <c r="FV244" s="315"/>
      <c r="FW244" s="315"/>
      <c r="FX244" s="315"/>
      <c r="FY244" s="315"/>
      <c r="FZ244" s="315"/>
      <c r="GA244" s="315"/>
      <c r="GB244" s="315"/>
      <c r="GC244" s="315"/>
      <c r="GD244" s="315"/>
      <c r="GE244" s="315"/>
      <c r="GF244" s="315"/>
      <c r="GG244" s="315"/>
      <c r="GH244" s="315"/>
      <c r="GI244" s="315"/>
      <c r="GJ244" s="315"/>
      <c r="GK244" s="315"/>
      <c r="GL244" s="315"/>
      <c r="GM244" s="315"/>
      <c r="GN244" s="315"/>
      <c r="GO244" s="315"/>
      <c r="GP244" s="315"/>
      <c r="GQ244" s="315"/>
      <c r="GR244" s="315"/>
      <c r="GS244" s="315"/>
      <c r="GT244" s="315"/>
      <c r="GU244" s="315"/>
      <c r="GV244" s="315"/>
      <c r="GW244" s="315"/>
      <c r="GX244" s="315"/>
      <c r="GY244" s="315"/>
      <c r="GZ244" s="315"/>
      <c r="HA244" s="315"/>
      <c r="HB244" s="315"/>
      <c r="HC244" s="315"/>
      <c r="HD244" s="315"/>
      <c r="HE244" s="315"/>
      <c r="HF244" s="315"/>
      <c r="HG244" s="315"/>
      <c r="HH244" s="315"/>
      <c r="HI244" s="315"/>
      <c r="HJ244" s="315"/>
      <c r="HK244" s="315"/>
      <c r="HL244" s="315"/>
      <c r="HM244" s="315"/>
      <c r="HN244" s="315"/>
      <c r="HO244" s="315"/>
      <c r="HP244" s="315"/>
      <c r="HQ244" s="315"/>
      <c r="HR244" s="315"/>
      <c r="HS244" s="315"/>
      <c r="HT244" s="315"/>
      <c r="HU244" s="315"/>
      <c r="HV244" s="315"/>
      <c r="HW244" s="315"/>
      <c r="HX244" s="315"/>
      <c r="HY244" s="315"/>
      <c r="HZ244" s="315"/>
      <c r="IA244" s="315"/>
      <c r="IB244" s="315"/>
      <c r="IC244" s="315"/>
      <c r="ID244" s="315"/>
      <c r="IE244" s="315"/>
      <c r="IF244" s="315"/>
      <c r="IG244" s="315"/>
      <c r="IH244" s="315"/>
      <c r="II244" s="315"/>
      <c r="IJ244" s="315"/>
      <c r="IK244" s="315"/>
      <c r="IL244" s="315"/>
      <c r="IM244" s="315"/>
      <c r="IN244" s="315"/>
      <c r="IO244" s="315"/>
      <c r="IP244" s="315"/>
      <c r="IQ244" s="315"/>
      <c r="IR244" s="315"/>
      <c r="IS244" s="315"/>
      <c r="IT244" s="315"/>
      <c r="IU244" s="315"/>
      <c r="IV244" s="315"/>
      <c r="IW244" s="315"/>
    </row>
    <row r="245" customFormat="false" ht="12.75" hidden="false" customHeight="true" outlineLevel="0" collapsed="false">
      <c r="A245" s="380" t="s">
        <v>343</v>
      </c>
      <c r="B245" s="380" t="s">
        <v>381</v>
      </c>
      <c r="C245" s="380" t="s">
        <v>6</v>
      </c>
      <c r="D245" s="380" t="s">
        <v>329</v>
      </c>
      <c r="E245" s="379" t="n">
        <v>27457</v>
      </c>
      <c r="F245" s="380" t="s">
        <v>394</v>
      </c>
      <c r="G245" s="387"/>
      <c r="H245" s="376" t="n">
        <v>37256</v>
      </c>
      <c r="K245" s="418" t="n">
        <v>0.9915</v>
      </c>
      <c r="L245" s="380" t="n">
        <v>0.0186</v>
      </c>
      <c r="N245" s="368"/>
      <c r="O245" s="368"/>
      <c r="P245" s="368"/>
      <c r="Q245" s="368"/>
      <c r="R245" s="368"/>
      <c r="S245" s="368"/>
      <c r="T245" s="368"/>
      <c r="U245" s="368"/>
      <c r="V245" s="368"/>
      <c r="W245" s="368"/>
      <c r="X245" s="368"/>
      <c r="Y245" s="396" t="n">
        <f aca="false">Y216*$L245</f>
        <v>7628.418</v>
      </c>
      <c r="AF245" s="417"/>
    </row>
    <row r="246" customFormat="false" ht="12.75" hidden="false" customHeight="true" outlineLevel="0" collapsed="false">
      <c r="I246" s="360" t="n">
        <f aca="false">SUM(I234:I243)</f>
        <v>0</v>
      </c>
      <c r="N246" s="360" t="n">
        <f aca="false">SUM(N234:N245)</f>
        <v>91024.3824</v>
      </c>
      <c r="O246" s="360" t="n">
        <f aca="false">SUM(O234:O245)</f>
        <v>82215.5712</v>
      </c>
      <c r="P246" s="360" t="n">
        <f aca="false">SUM(P234:P245)</f>
        <v>104786.6712</v>
      </c>
      <c r="Q246" s="360" t="n">
        <f aca="false">SUM(Q234:Q245)</f>
        <v>15462.552</v>
      </c>
      <c r="R246" s="360" t="n">
        <f aca="false">SUM(R234:R245)</f>
        <v>46179.4848</v>
      </c>
      <c r="S246" s="360" t="n">
        <f aca="false">SUM(S234:S245)</f>
        <v>93228.408</v>
      </c>
      <c r="T246" s="360" t="n">
        <f aca="false">SUM(T234:T245)</f>
        <v>105729.9888</v>
      </c>
      <c r="U246" s="360" t="n">
        <f aca="false">SUM(U234:U245)</f>
        <v>100570.572</v>
      </c>
      <c r="V246" s="360" t="n">
        <f aca="false">SUM(V234:V245)</f>
        <v>89130.456</v>
      </c>
      <c r="W246" s="360" t="n">
        <f aca="false">SUM(W234:W245)</f>
        <v>100570.572</v>
      </c>
      <c r="X246" s="360" t="n">
        <f aca="false">SUM(X234:X245)</f>
        <v>110773.8</v>
      </c>
      <c r="Y246" s="360" t="n">
        <f aca="false">SUM(Y234:Y245)</f>
        <v>119977.4028</v>
      </c>
      <c r="Z246" s="417" t="n">
        <f aca="false">SUM(N246:Y246)</f>
        <v>1059649.8612</v>
      </c>
      <c r="AE246" s="417" t="n">
        <f aca="false">Z246</f>
        <v>1059649.8612</v>
      </c>
    </row>
    <row r="247" customFormat="false" ht="12.75" hidden="false" customHeight="true" outlineLevel="0" collapsed="false">
      <c r="I247" s="360" t="s">
        <v>397</v>
      </c>
    </row>
    <row r="248" customFormat="false" ht="12.75" hidden="false" customHeight="true" outlineLevel="0" collapsed="false">
      <c r="A248" s="422"/>
      <c r="B248" s="422"/>
      <c r="C248" s="422"/>
      <c r="D248" s="422"/>
      <c r="E248" s="423"/>
      <c r="F248" s="422"/>
      <c r="G248" s="422"/>
      <c r="H248" s="423"/>
      <c r="I248" s="424"/>
      <c r="J248" s="422"/>
      <c r="K248" s="425"/>
      <c r="L248" s="422"/>
      <c r="M248" s="426"/>
      <c r="N248" s="424"/>
      <c r="O248" s="424"/>
      <c r="P248" s="424"/>
      <c r="Q248" s="424"/>
      <c r="R248" s="424"/>
      <c r="S248" s="424"/>
      <c r="T248" s="424"/>
      <c r="U248" s="424"/>
      <c r="V248" s="424"/>
      <c r="W248" s="424"/>
      <c r="X248" s="424"/>
      <c r="Y248" s="424"/>
      <c r="Z248" s="422"/>
      <c r="AA248" s="422"/>
      <c r="AB248" s="422"/>
      <c r="AC248" s="422"/>
      <c r="AD248" s="422"/>
      <c r="AE248" s="422"/>
      <c r="AF248" s="422"/>
      <c r="AG248" s="422"/>
      <c r="AH248" s="422"/>
      <c r="AI248" s="422"/>
      <c r="AJ248" s="422"/>
      <c r="AK248" s="422"/>
      <c r="AL248" s="422"/>
      <c r="AM248" s="422"/>
      <c r="AN248" s="422"/>
      <c r="AO248" s="422"/>
      <c r="AP248" s="422"/>
      <c r="AQ248" s="422"/>
      <c r="AR248" s="422"/>
      <c r="AS248" s="422"/>
      <c r="AT248" s="422"/>
      <c r="AU248" s="422"/>
      <c r="AV248" s="422"/>
      <c r="AW248" s="422"/>
      <c r="AX248" s="422"/>
      <c r="AY248" s="422"/>
      <c r="AZ248" s="422"/>
      <c r="BA248" s="422"/>
      <c r="BB248" s="422"/>
      <c r="BC248" s="422"/>
      <c r="BD248" s="422"/>
      <c r="BE248" s="422"/>
      <c r="BF248" s="422"/>
      <c r="BG248" s="422"/>
      <c r="BH248" s="422"/>
      <c r="BI248" s="422"/>
      <c r="BJ248" s="422"/>
      <c r="BK248" s="422"/>
      <c r="BL248" s="422"/>
      <c r="BM248" s="422"/>
      <c r="BN248" s="422"/>
      <c r="BO248" s="422"/>
      <c r="BP248" s="422"/>
      <c r="BQ248" s="422"/>
      <c r="BR248" s="422"/>
      <c r="BS248" s="422"/>
      <c r="BT248" s="422"/>
      <c r="BU248" s="422"/>
      <c r="BV248" s="422"/>
      <c r="BW248" s="422"/>
      <c r="BX248" s="422"/>
      <c r="BY248" s="422"/>
      <c r="BZ248" s="422"/>
      <c r="CA248" s="422"/>
      <c r="CB248" s="422"/>
      <c r="CC248" s="422"/>
      <c r="CD248" s="422"/>
      <c r="CE248" s="422"/>
      <c r="CF248" s="422"/>
      <c r="CG248" s="422"/>
      <c r="CH248" s="422"/>
      <c r="CI248" s="422"/>
      <c r="CJ248" s="422"/>
      <c r="CK248" s="422"/>
      <c r="CL248" s="422"/>
      <c r="CM248" s="422"/>
      <c r="CN248" s="422"/>
      <c r="CO248" s="422"/>
      <c r="CP248" s="422"/>
      <c r="CQ248" s="422"/>
      <c r="CR248" s="422"/>
      <c r="CS248" s="422"/>
      <c r="CT248" s="422"/>
      <c r="CU248" s="422"/>
      <c r="CV248" s="422"/>
      <c r="CW248" s="422"/>
      <c r="CX248" s="422"/>
      <c r="CY248" s="422"/>
      <c r="CZ248" s="422"/>
      <c r="DA248" s="422"/>
      <c r="DB248" s="422"/>
      <c r="DC248" s="422"/>
      <c r="DD248" s="422"/>
      <c r="DE248" s="422"/>
      <c r="DF248" s="422"/>
      <c r="DG248" s="422"/>
      <c r="DH248" s="422"/>
      <c r="DI248" s="422"/>
      <c r="DJ248" s="422"/>
      <c r="DK248" s="422"/>
      <c r="DL248" s="422"/>
      <c r="DM248" s="422"/>
      <c r="DN248" s="422"/>
      <c r="DO248" s="422"/>
      <c r="DP248" s="422"/>
      <c r="DQ248" s="422"/>
      <c r="DR248" s="422"/>
      <c r="DS248" s="422"/>
      <c r="DT248" s="422"/>
      <c r="DU248" s="422"/>
      <c r="DV248" s="422"/>
      <c r="DW248" s="422"/>
      <c r="DX248" s="422"/>
      <c r="DY248" s="422"/>
      <c r="DZ248" s="422"/>
      <c r="EA248" s="422"/>
      <c r="EB248" s="422"/>
      <c r="EC248" s="422"/>
      <c r="ED248" s="422"/>
      <c r="EE248" s="422"/>
      <c r="EF248" s="422"/>
      <c r="EG248" s="422"/>
      <c r="EH248" s="422"/>
      <c r="EI248" s="422"/>
      <c r="EJ248" s="422"/>
      <c r="EK248" s="422"/>
      <c r="EL248" s="422"/>
      <c r="EM248" s="422"/>
      <c r="EN248" s="422"/>
      <c r="EO248" s="422"/>
      <c r="EP248" s="422"/>
      <c r="EQ248" s="422"/>
      <c r="ER248" s="422"/>
      <c r="ES248" s="422"/>
      <c r="ET248" s="422"/>
      <c r="EU248" s="422"/>
      <c r="EV248" s="422"/>
      <c r="EW248" s="422"/>
      <c r="EX248" s="422"/>
      <c r="EY248" s="422"/>
      <c r="EZ248" s="422"/>
      <c r="FA248" s="422"/>
      <c r="FB248" s="422"/>
      <c r="FC248" s="422"/>
      <c r="FD248" s="422"/>
      <c r="FE248" s="422"/>
      <c r="FF248" s="422"/>
      <c r="FG248" s="422"/>
      <c r="FH248" s="422"/>
      <c r="FI248" s="422"/>
      <c r="FJ248" s="422"/>
      <c r="FK248" s="422"/>
      <c r="FL248" s="422"/>
      <c r="FM248" s="422"/>
      <c r="FN248" s="422"/>
      <c r="FO248" s="422"/>
      <c r="FP248" s="422"/>
      <c r="FQ248" s="422"/>
      <c r="FR248" s="422"/>
      <c r="FS248" s="422"/>
      <c r="FT248" s="422"/>
      <c r="FU248" s="422"/>
      <c r="FV248" s="422"/>
      <c r="FW248" s="422"/>
      <c r="FX248" s="422"/>
      <c r="FY248" s="422"/>
      <c r="FZ248" s="422"/>
      <c r="GA248" s="422"/>
      <c r="GB248" s="422"/>
      <c r="GC248" s="422"/>
      <c r="GD248" s="422"/>
      <c r="GE248" s="422"/>
      <c r="GF248" s="422"/>
      <c r="GG248" s="422"/>
      <c r="GH248" s="422"/>
      <c r="GI248" s="422"/>
      <c r="GJ248" s="422"/>
      <c r="GK248" s="422"/>
      <c r="GL248" s="422"/>
      <c r="GM248" s="422"/>
      <c r="GN248" s="422"/>
      <c r="GO248" s="422"/>
      <c r="GP248" s="422"/>
      <c r="GQ248" s="422"/>
      <c r="GR248" s="422"/>
      <c r="GS248" s="422"/>
      <c r="GT248" s="422"/>
      <c r="GU248" s="422"/>
      <c r="GV248" s="422"/>
      <c r="GW248" s="422"/>
      <c r="GX248" s="422"/>
      <c r="GY248" s="422"/>
      <c r="GZ248" s="422"/>
      <c r="HA248" s="422"/>
      <c r="HB248" s="422"/>
      <c r="HC248" s="422"/>
      <c r="HD248" s="422"/>
      <c r="HE248" s="422"/>
      <c r="HF248" s="422"/>
      <c r="HG248" s="422"/>
      <c r="HH248" s="422"/>
      <c r="HI248" s="422"/>
      <c r="HJ248" s="422"/>
      <c r="HK248" s="422"/>
      <c r="HL248" s="422"/>
      <c r="HM248" s="422"/>
      <c r="HN248" s="422"/>
      <c r="HO248" s="422"/>
      <c r="HP248" s="422"/>
      <c r="HQ248" s="422"/>
      <c r="HR248" s="422"/>
      <c r="HS248" s="422"/>
      <c r="HT248" s="422"/>
      <c r="HU248" s="422"/>
      <c r="HV248" s="422"/>
      <c r="HW248" s="422"/>
      <c r="HX248" s="422"/>
      <c r="HY248" s="422"/>
      <c r="HZ248" s="422"/>
      <c r="IA248" s="422"/>
      <c r="IB248" s="422"/>
      <c r="IC248" s="422"/>
      <c r="ID248" s="422"/>
      <c r="IE248" s="422"/>
      <c r="IF248" s="422"/>
      <c r="IG248" s="422"/>
      <c r="IH248" s="422"/>
      <c r="II248" s="422"/>
      <c r="IJ248" s="422"/>
      <c r="IK248" s="422"/>
      <c r="IL248" s="422"/>
      <c r="IM248" s="422"/>
      <c r="IN248" s="422"/>
      <c r="IO248" s="422"/>
      <c r="IP248" s="422"/>
      <c r="IQ248" s="422"/>
      <c r="IR248" s="422"/>
      <c r="IS248" s="422"/>
      <c r="IT248" s="422"/>
      <c r="IU248" s="422"/>
      <c r="IV248" s="422"/>
      <c r="IW248" s="422"/>
    </row>
    <row r="251" customFormat="false" ht="12.75" hidden="false" customHeight="true" outlineLevel="0" collapsed="false">
      <c r="A251" s="294" t="s">
        <v>343</v>
      </c>
      <c r="B251" s="294" t="s">
        <v>398</v>
      </c>
      <c r="C251" s="294" t="s">
        <v>5</v>
      </c>
      <c r="D251" s="294" t="s">
        <v>332</v>
      </c>
      <c r="E251" s="359" t="n">
        <v>25071</v>
      </c>
      <c r="F251" s="294" t="s">
        <v>385</v>
      </c>
      <c r="H251" s="378" t="n">
        <v>39782</v>
      </c>
      <c r="I251" s="360" t="n">
        <v>60000</v>
      </c>
      <c r="J251" s="294" t="n">
        <v>0.85</v>
      </c>
      <c r="M251" s="361" t="s">
        <v>386</v>
      </c>
      <c r="N251" s="360" t="n">
        <f aca="false">$I251*N$1</f>
        <v>1860000</v>
      </c>
      <c r="O251" s="360" t="n">
        <f aca="false">$I251*O$1</f>
        <v>1680000</v>
      </c>
      <c r="P251" s="360" t="n">
        <f aca="false">$I251*P$1</f>
        <v>1860000</v>
      </c>
      <c r="Q251" s="360" t="n">
        <f aca="false">$I251*Q$1</f>
        <v>1800000</v>
      </c>
      <c r="R251" s="360" t="n">
        <f aca="false">$I251*R$1</f>
        <v>1860000</v>
      </c>
      <c r="S251" s="360" t="n">
        <f aca="false">$I251*S$1</f>
        <v>1800000</v>
      </c>
      <c r="T251" s="360" t="n">
        <f aca="false">$I251*T$1</f>
        <v>1860000</v>
      </c>
      <c r="U251" s="360" t="n">
        <f aca="false">$I251*U$1</f>
        <v>1860000</v>
      </c>
      <c r="V251" s="360" t="n">
        <f aca="false">$I251*V$1</f>
        <v>1800000</v>
      </c>
      <c r="W251" s="360" t="n">
        <f aca="false">$I251*W$1</f>
        <v>1860000</v>
      </c>
      <c r="X251" s="360" t="n">
        <f aca="false">$I251*X$1</f>
        <v>1800000</v>
      </c>
      <c r="Y251" s="360" t="n">
        <f aca="false">$I251*Y$1</f>
        <v>1860000</v>
      </c>
    </row>
    <row r="254" customFormat="false" ht="12.75" hidden="false" customHeight="true" outlineLevel="0" collapsed="false">
      <c r="N254" s="368"/>
      <c r="O254" s="368"/>
      <c r="P254" s="368"/>
      <c r="Q254" s="368"/>
      <c r="R254" s="368"/>
      <c r="S254" s="368"/>
      <c r="T254" s="368"/>
      <c r="U254" s="368"/>
      <c r="V254" s="368"/>
      <c r="W254" s="368"/>
      <c r="X254" s="368"/>
      <c r="Y254" s="368"/>
    </row>
    <row r="255" customFormat="false" ht="12.75" hidden="false" customHeight="true" outlineLevel="0" collapsed="false">
      <c r="N255" s="360" t="n">
        <f aca="false">SUM(N251:N254)</f>
        <v>1860000</v>
      </c>
      <c r="O255" s="360" t="n">
        <f aca="false">SUM(O251:O254)</f>
        <v>1680000</v>
      </c>
      <c r="P255" s="360" t="n">
        <f aca="false">SUM(P251:P254)</f>
        <v>1860000</v>
      </c>
      <c r="Q255" s="360" t="n">
        <f aca="false">SUM(Q251:Q254)</f>
        <v>1800000</v>
      </c>
      <c r="R255" s="360" t="n">
        <f aca="false">SUM(R251:R254)</f>
        <v>1860000</v>
      </c>
      <c r="S255" s="360" t="n">
        <f aca="false">SUM(S251:S254)</f>
        <v>1800000</v>
      </c>
      <c r="T255" s="360" t="n">
        <f aca="false">SUM(T251:T254)</f>
        <v>1860000</v>
      </c>
      <c r="U255" s="360" t="n">
        <f aca="false">SUM(U251:U254)</f>
        <v>1860000</v>
      </c>
      <c r="V255" s="360" t="n">
        <f aca="false">SUM(V251:V254)</f>
        <v>1800000</v>
      </c>
      <c r="W255" s="360" t="n">
        <f aca="false">SUM(W251:W254)</f>
        <v>1860000</v>
      </c>
      <c r="X255" s="360" t="n">
        <f aca="false">SUM(X251:X254)</f>
        <v>1800000</v>
      </c>
      <c r="Y255" s="360" t="n">
        <f aca="false">SUM(Y251:Y254)</f>
        <v>1860000</v>
      </c>
    </row>
    <row r="257" customFormat="false" ht="12.75" hidden="false" customHeight="true" outlineLevel="0" collapsed="false">
      <c r="A257" s="397" t="s">
        <v>399</v>
      </c>
      <c r="B257" s="398"/>
      <c r="C257" s="398"/>
      <c r="D257" s="398"/>
      <c r="E257" s="399"/>
      <c r="F257" s="398"/>
      <c r="G257" s="398"/>
      <c r="H257" s="399"/>
      <c r="I257" s="400"/>
      <c r="J257" s="398"/>
      <c r="K257" s="401"/>
      <c r="L257" s="398"/>
      <c r="M257" s="402"/>
      <c r="N257" s="400"/>
      <c r="O257" s="400"/>
      <c r="P257" s="400"/>
      <c r="Q257" s="400"/>
      <c r="R257" s="400"/>
      <c r="S257" s="400"/>
      <c r="T257" s="400"/>
      <c r="U257" s="400"/>
      <c r="V257" s="400"/>
      <c r="W257" s="400"/>
      <c r="X257" s="400"/>
      <c r="Y257" s="437"/>
    </row>
    <row r="258" customFormat="false" ht="12.75" hidden="false" customHeight="true" outlineLevel="0" collapsed="false">
      <c r="A258" s="294" t="s">
        <v>343</v>
      </c>
      <c r="B258" s="294" t="s">
        <v>398</v>
      </c>
      <c r="C258" s="294" t="s">
        <v>5</v>
      </c>
      <c r="D258" s="294" t="s">
        <v>329</v>
      </c>
      <c r="E258" s="359" t="n">
        <v>25071</v>
      </c>
      <c r="F258" s="294" t="s">
        <v>385</v>
      </c>
      <c r="H258" s="378" t="n">
        <v>39782</v>
      </c>
      <c r="I258" s="360" t="n">
        <v>60000</v>
      </c>
      <c r="J258" s="294" t="n">
        <v>0.85</v>
      </c>
      <c r="M258" s="361" t="s">
        <v>386</v>
      </c>
      <c r="N258" s="360" t="n">
        <f aca="false">N251*$J258</f>
        <v>1581000</v>
      </c>
      <c r="O258" s="360" t="n">
        <f aca="false">O251*$J258</f>
        <v>1428000</v>
      </c>
      <c r="P258" s="360" t="n">
        <f aca="false">P251*$J258</f>
        <v>1581000</v>
      </c>
      <c r="Q258" s="360" t="n">
        <f aca="false">Q251*$J258</f>
        <v>1530000</v>
      </c>
      <c r="R258" s="360" t="n">
        <f aca="false">R251*$J258</f>
        <v>1581000</v>
      </c>
      <c r="S258" s="360" t="n">
        <f aca="false">S251*$J258</f>
        <v>1530000</v>
      </c>
      <c r="T258" s="360" t="n">
        <f aca="false">T251*$J258</f>
        <v>1581000</v>
      </c>
      <c r="U258" s="360" t="n">
        <f aca="false">U251*$J258</f>
        <v>1581000</v>
      </c>
      <c r="V258" s="360" t="n">
        <f aca="false">V251*$J258</f>
        <v>1530000</v>
      </c>
      <c r="W258" s="360" t="n">
        <f aca="false">W251*$J258</f>
        <v>1581000</v>
      </c>
      <c r="X258" s="360" t="n">
        <f aca="false">X251*$J258</f>
        <v>1530000</v>
      </c>
      <c r="Y258" s="360" t="n">
        <f aca="false">Y251*$J258</f>
        <v>1581000</v>
      </c>
    </row>
    <row r="261" customFormat="false" ht="12.75" hidden="false" customHeight="true" outlineLevel="0" collapsed="false">
      <c r="N261" s="368"/>
      <c r="O261" s="368"/>
      <c r="P261" s="368"/>
      <c r="Q261" s="368"/>
      <c r="R261" s="368"/>
      <c r="S261" s="368"/>
      <c r="T261" s="368"/>
      <c r="U261" s="368"/>
      <c r="V261" s="368"/>
      <c r="W261" s="368"/>
      <c r="X261" s="368"/>
      <c r="Y261" s="368"/>
    </row>
    <row r="262" customFormat="false" ht="12.75" hidden="false" customHeight="true" outlineLevel="0" collapsed="false">
      <c r="N262" s="360" t="n">
        <f aca="false">SUM(N258:N261)</f>
        <v>1581000</v>
      </c>
      <c r="O262" s="360" t="n">
        <f aca="false">SUM(O258:O261)</f>
        <v>1428000</v>
      </c>
      <c r="P262" s="360" t="n">
        <f aca="false">SUM(P258:P261)</f>
        <v>1581000</v>
      </c>
      <c r="Q262" s="360" t="n">
        <f aca="false">SUM(Q258:Q261)</f>
        <v>1530000</v>
      </c>
      <c r="R262" s="360" t="n">
        <f aca="false">SUM(R258:R261)</f>
        <v>1581000</v>
      </c>
      <c r="S262" s="360" t="n">
        <f aca="false">SUM(S258:S261)</f>
        <v>1530000</v>
      </c>
      <c r="T262" s="360" t="n">
        <f aca="false">SUM(T258:T261)</f>
        <v>1581000</v>
      </c>
      <c r="U262" s="360" t="n">
        <f aca="false">SUM(U258:U261)</f>
        <v>1581000</v>
      </c>
      <c r="V262" s="360" t="n">
        <f aca="false">SUM(V258:V261)</f>
        <v>1530000</v>
      </c>
      <c r="W262" s="360" t="n">
        <f aca="false">SUM(W258:W261)</f>
        <v>1581000</v>
      </c>
      <c r="X262" s="360" t="n">
        <f aca="false">SUM(X258:X261)</f>
        <v>1530000</v>
      </c>
      <c r="Y262" s="360" t="n">
        <f aca="false">SUM(Y258:Y261)</f>
        <v>1581000</v>
      </c>
    </row>
    <row r="265" customFormat="false" ht="12.75" hidden="false" customHeight="true" outlineLevel="0" collapsed="false">
      <c r="A265" s="294" t="s">
        <v>343</v>
      </c>
      <c r="B265" s="294" t="s">
        <v>398</v>
      </c>
      <c r="C265" s="294" t="s">
        <v>6</v>
      </c>
      <c r="D265" s="294" t="s">
        <v>332</v>
      </c>
      <c r="E265" s="359" t="n">
        <v>25071</v>
      </c>
      <c r="F265" s="294" t="s">
        <v>385</v>
      </c>
      <c r="H265" s="378" t="n">
        <v>39782</v>
      </c>
      <c r="J265" s="294" t="n">
        <v>0.85</v>
      </c>
      <c r="K265" s="357" t="n">
        <v>0.1564</v>
      </c>
      <c r="L265" s="294" t="n">
        <v>0.0186</v>
      </c>
      <c r="M265" s="361" t="s">
        <v>386</v>
      </c>
      <c r="N265" s="360" t="n">
        <f aca="false">N251*($K265+$L265)-N271</f>
        <v>296093.4</v>
      </c>
      <c r="O265" s="360" t="n">
        <f aca="false">O251*($K265+$L265)-O271</f>
        <v>267439.2</v>
      </c>
      <c r="P265" s="360" t="n">
        <f aca="false">P251*($K265+$L265)-P271</f>
        <v>296093.4</v>
      </c>
      <c r="Q265" s="360" t="n">
        <f aca="false">Q251*($K265+$L265)-Q271</f>
        <v>286542</v>
      </c>
      <c r="R265" s="360" t="n">
        <f aca="false">R251*($K265+$L265)-R271</f>
        <v>296093.4</v>
      </c>
      <c r="S265" s="360" t="n">
        <f aca="false">S251*($K265+$L265)-S271</f>
        <v>286542</v>
      </c>
      <c r="T265" s="360" t="n">
        <f aca="false">T251*($K265+$L265)-T271</f>
        <v>296093.4</v>
      </c>
      <c r="U265" s="360" t="n">
        <f aca="false">U251*($K265+$L265)-U271</f>
        <v>296093.4</v>
      </c>
      <c r="V265" s="360" t="n">
        <f aca="false">V251*($K265+$L265)-V271</f>
        <v>286542</v>
      </c>
      <c r="W265" s="360" t="n">
        <f aca="false">W251*($K265+$L265)-W271</f>
        <v>296093.4</v>
      </c>
      <c r="X265" s="360" t="n">
        <f aca="false">X251*($K265+$L265)-X271</f>
        <v>286542</v>
      </c>
      <c r="Y265" s="360" t="n">
        <f aca="false">Y251*(0.1614+$L265)-Y271</f>
        <v>305393.4</v>
      </c>
    </row>
    <row r="268" customFormat="false" ht="12.75" hidden="false" customHeight="true" outlineLevel="0" collapsed="false">
      <c r="N268" s="368"/>
      <c r="O268" s="368"/>
      <c r="P268" s="368"/>
      <c r="Q268" s="368"/>
      <c r="R268" s="368"/>
      <c r="S268" s="368"/>
      <c r="T268" s="368"/>
      <c r="U268" s="368"/>
      <c r="V268" s="368"/>
      <c r="W268" s="368"/>
      <c r="X268" s="368"/>
      <c r="Y268" s="368"/>
    </row>
    <row r="269" customFormat="false" ht="12.75" hidden="false" customHeight="true" outlineLevel="0" collapsed="false">
      <c r="N269" s="360" t="n">
        <f aca="false">SUM(N265:N268)</f>
        <v>296093.4</v>
      </c>
      <c r="O269" s="360" t="n">
        <f aca="false">SUM(O265:O268)</f>
        <v>267439.2</v>
      </c>
      <c r="P269" s="360" t="n">
        <f aca="false">SUM(P265:P268)</f>
        <v>296093.4</v>
      </c>
      <c r="Q269" s="360" t="n">
        <f aca="false">SUM(Q265:Q268)</f>
        <v>286542</v>
      </c>
      <c r="R269" s="360" t="n">
        <f aca="false">SUM(R265:R268)</f>
        <v>296093.4</v>
      </c>
      <c r="S269" s="360" t="n">
        <f aca="false">SUM(S265:S268)</f>
        <v>286542</v>
      </c>
      <c r="T269" s="360" t="n">
        <f aca="false">SUM(T265:T268)</f>
        <v>296093.4</v>
      </c>
      <c r="U269" s="360" t="n">
        <f aca="false">SUM(U265:U268)</f>
        <v>296093.4</v>
      </c>
      <c r="V269" s="360" t="n">
        <f aca="false">SUM(V265:V268)</f>
        <v>286542</v>
      </c>
      <c r="W269" s="360" t="n">
        <f aca="false">SUM(W265:W268)</f>
        <v>296093.4</v>
      </c>
      <c r="X269" s="360" t="n">
        <f aca="false">SUM(X265:X268)</f>
        <v>286542</v>
      </c>
      <c r="Y269" s="360" t="n">
        <f aca="false">SUM(Y265:Y268)</f>
        <v>305393.4</v>
      </c>
      <c r="Z269" s="417" t="n">
        <f aca="false">SUM(N269:Y269)</f>
        <v>3495561</v>
      </c>
    </row>
    <row r="271" customFormat="false" ht="12.75" hidden="false" customHeight="true" outlineLevel="0" collapsed="false">
      <c r="A271" s="294" t="s">
        <v>343</v>
      </c>
      <c r="B271" s="294" t="s">
        <v>398</v>
      </c>
      <c r="C271" s="294" t="s">
        <v>6</v>
      </c>
      <c r="D271" s="294" t="s">
        <v>329</v>
      </c>
      <c r="E271" s="359" t="n">
        <v>25071</v>
      </c>
      <c r="F271" s="294" t="s">
        <v>385</v>
      </c>
      <c r="H271" s="378" t="n">
        <v>39782</v>
      </c>
      <c r="J271" s="294" t="n">
        <v>0.85</v>
      </c>
      <c r="K271" s="357" t="n">
        <v>0.1564</v>
      </c>
      <c r="L271" s="294" t="n">
        <v>0.0186</v>
      </c>
      <c r="M271" s="361" t="s">
        <v>386</v>
      </c>
      <c r="N271" s="360" t="n">
        <f aca="false">N258*$L271</f>
        <v>29406.6</v>
      </c>
      <c r="O271" s="360" t="n">
        <f aca="false">O258*$L271</f>
        <v>26560.8</v>
      </c>
      <c r="P271" s="360" t="n">
        <f aca="false">P258*$L271</f>
        <v>29406.6</v>
      </c>
      <c r="Q271" s="360" t="n">
        <f aca="false">Q258*$L271</f>
        <v>28458</v>
      </c>
      <c r="R271" s="360" t="n">
        <f aca="false">R258*$L271</f>
        <v>29406.6</v>
      </c>
      <c r="S271" s="360" t="n">
        <f aca="false">S258*$L271</f>
        <v>28458</v>
      </c>
      <c r="T271" s="360" t="n">
        <f aca="false">T258*$L271</f>
        <v>29406.6</v>
      </c>
      <c r="U271" s="360" t="n">
        <f aca="false">U258*$L271</f>
        <v>29406.6</v>
      </c>
      <c r="V271" s="360" t="n">
        <f aca="false">V258*$L271</f>
        <v>28458</v>
      </c>
      <c r="W271" s="360" t="n">
        <f aca="false">W258*$L271</f>
        <v>29406.6</v>
      </c>
      <c r="X271" s="360" t="n">
        <f aca="false">X258*$L271</f>
        <v>28458</v>
      </c>
      <c r="Y271" s="360" t="n">
        <f aca="false">Y258*$L271</f>
        <v>29406.6</v>
      </c>
      <c r="AF271" s="417" t="n">
        <f aca="false">SUM(N271:Y271)</f>
        <v>346239</v>
      </c>
    </row>
    <row r="272" customFormat="false" ht="12.75" hidden="false" customHeight="true" outlineLevel="0" collapsed="false">
      <c r="AF272" s="417" t="n">
        <f aca="false">SUM(N272:Y272)</f>
        <v>0</v>
      </c>
    </row>
    <row r="273" customFormat="false" ht="12.75" hidden="false" customHeight="true" outlineLevel="0" collapsed="false">
      <c r="AF273" s="417" t="n">
        <f aca="false">SUM(N273:Y273)</f>
        <v>0</v>
      </c>
    </row>
    <row r="274" customFormat="false" ht="12.75" hidden="false" customHeight="true" outlineLevel="0" collapsed="false">
      <c r="A274" s="98"/>
      <c r="B274" s="98"/>
      <c r="C274" s="98"/>
      <c r="D274" s="98"/>
      <c r="E274" s="438"/>
      <c r="F274" s="98"/>
      <c r="G274" s="98"/>
      <c r="H274" s="438"/>
      <c r="J274" s="98"/>
      <c r="L274" s="98"/>
      <c r="M274" s="439"/>
      <c r="N274" s="368"/>
      <c r="O274" s="368"/>
      <c r="P274" s="368"/>
      <c r="Q274" s="368"/>
      <c r="R274" s="368"/>
      <c r="S274" s="368"/>
      <c r="T274" s="368"/>
      <c r="U274" s="368"/>
      <c r="V274" s="368"/>
      <c r="W274" s="368"/>
      <c r="X274" s="368"/>
      <c r="Y274" s="36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  <c r="AX274" s="98"/>
      <c r="AY274" s="98"/>
      <c r="AZ274" s="98"/>
      <c r="BA274" s="98"/>
      <c r="BB274" s="98"/>
      <c r="BC274" s="98"/>
      <c r="BD274" s="98"/>
      <c r="BE274" s="98"/>
      <c r="BF274" s="98"/>
      <c r="BG274" s="98"/>
      <c r="BH274" s="98"/>
      <c r="BI274" s="98"/>
      <c r="BJ274" s="98"/>
      <c r="BK274" s="98"/>
      <c r="BL274" s="98"/>
      <c r="BM274" s="98"/>
      <c r="BN274" s="98"/>
      <c r="BO274" s="98"/>
      <c r="BP274" s="98"/>
      <c r="BQ274" s="98"/>
      <c r="BR274" s="98"/>
      <c r="BS274" s="98"/>
      <c r="BT274" s="98"/>
      <c r="BU274" s="98"/>
      <c r="BV274" s="98"/>
      <c r="BW274" s="98"/>
      <c r="BX274" s="98"/>
      <c r="BY274" s="98"/>
      <c r="BZ274" s="98"/>
      <c r="CA274" s="98"/>
      <c r="CB274" s="98"/>
      <c r="CC274" s="98"/>
      <c r="CD274" s="98"/>
      <c r="CE274" s="98"/>
      <c r="CF274" s="98"/>
      <c r="CG274" s="98"/>
      <c r="CH274" s="98"/>
      <c r="CI274" s="98"/>
      <c r="CJ274" s="98"/>
      <c r="CK274" s="98"/>
      <c r="CL274" s="98"/>
      <c r="CM274" s="98"/>
      <c r="CN274" s="98"/>
      <c r="CO274" s="98"/>
      <c r="CP274" s="98"/>
      <c r="CQ274" s="98"/>
      <c r="CR274" s="98"/>
      <c r="CS274" s="98"/>
      <c r="CT274" s="98"/>
      <c r="CU274" s="98"/>
      <c r="CV274" s="98"/>
      <c r="CW274" s="98"/>
      <c r="CX274" s="98"/>
      <c r="CY274" s="98"/>
      <c r="CZ274" s="98"/>
      <c r="DA274" s="98"/>
      <c r="DB274" s="98"/>
      <c r="DC274" s="98"/>
      <c r="DD274" s="98"/>
      <c r="DE274" s="98"/>
      <c r="DF274" s="98"/>
      <c r="DG274" s="98"/>
      <c r="DH274" s="98"/>
      <c r="DI274" s="98"/>
      <c r="DJ274" s="98"/>
      <c r="DK274" s="98"/>
      <c r="DL274" s="98"/>
      <c r="DM274" s="98"/>
      <c r="DN274" s="98"/>
      <c r="DO274" s="98"/>
      <c r="DP274" s="98"/>
      <c r="DQ274" s="98"/>
      <c r="DR274" s="98"/>
      <c r="DS274" s="98"/>
      <c r="DT274" s="98"/>
      <c r="DU274" s="98"/>
      <c r="DV274" s="98"/>
      <c r="DW274" s="98"/>
      <c r="DX274" s="98"/>
      <c r="DY274" s="98"/>
      <c r="DZ274" s="98"/>
      <c r="EA274" s="98"/>
      <c r="EB274" s="98"/>
      <c r="EC274" s="98"/>
      <c r="ED274" s="98"/>
      <c r="EE274" s="98"/>
      <c r="EF274" s="98"/>
      <c r="EG274" s="98"/>
      <c r="EH274" s="98"/>
      <c r="EI274" s="98"/>
      <c r="EJ274" s="98"/>
      <c r="EK274" s="98"/>
      <c r="EL274" s="98"/>
      <c r="EM274" s="98"/>
      <c r="EN274" s="98"/>
      <c r="EO274" s="98"/>
      <c r="EP274" s="98"/>
      <c r="EQ274" s="98"/>
      <c r="ER274" s="98"/>
      <c r="ES274" s="98"/>
      <c r="ET274" s="98"/>
      <c r="EU274" s="98"/>
      <c r="EV274" s="98"/>
      <c r="EW274" s="98"/>
      <c r="EX274" s="98"/>
      <c r="EY274" s="98"/>
      <c r="EZ274" s="98"/>
      <c r="FA274" s="98"/>
      <c r="FB274" s="98"/>
      <c r="FC274" s="98"/>
      <c r="FD274" s="98"/>
      <c r="FE274" s="98"/>
      <c r="FF274" s="98"/>
      <c r="FG274" s="98"/>
      <c r="FH274" s="98"/>
      <c r="FI274" s="98"/>
      <c r="FJ274" s="98"/>
      <c r="FK274" s="98"/>
      <c r="FL274" s="98"/>
      <c r="FM274" s="98"/>
      <c r="FN274" s="98"/>
      <c r="FO274" s="98"/>
      <c r="FP274" s="98"/>
      <c r="FQ274" s="98"/>
      <c r="FR274" s="98"/>
      <c r="FS274" s="98"/>
      <c r="FT274" s="98"/>
      <c r="FU274" s="98"/>
      <c r="FV274" s="98"/>
      <c r="FW274" s="98"/>
      <c r="FX274" s="98"/>
      <c r="FY274" s="98"/>
      <c r="FZ274" s="98"/>
      <c r="GA274" s="98"/>
      <c r="GB274" s="98"/>
      <c r="GC274" s="98"/>
      <c r="GD274" s="98"/>
      <c r="GE274" s="98"/>
      <c r="GF274" s="98"/>
      <c r="GG274" s="98"/>
      <c r="GH274" s="98"/>
      <c r="GI274" s="98"/>
      <c r="GJ274" s="98"/>
      <c r="GK274" s="98"/>
      <c r="GL274" s="98"/>
      <c r="GM274" s="98"/>
      <c r="GN274" s="98"/>
      <c r="GO274" s="98"/>
      <c r="GP274" s="98"/>
      <c r="GQ274" s="98"/>
      <c r="GR274" s="98"/>
      <c r="GS274" s="98"/>
      <c r="GT274" s="98"/>
      <c r="GU274" s="98"/>
      <c r="GV274" s="98"/>
      <c r="GW274" s="98"/>
      <c r="GX274" s="98"/>
      <c r="GY274" s="98"/>
      <c r="GZ274" s="98"/>
      <c r="HA274" s="98"/>
      <c r="HB274" s="98"/>
      <c r="HC274" s="98"/>
      <c r="HD274" s="98"/>
      <c r="HE274" s="98"/>
      <c r="HF274" s="98"/>
      <c r="HG274" s="98"/>
      <c r="HH274" s="98"/>
      <c r="HI274" s="98"/>
      <c r="HJ274" s="98"/>
      <c r="HK274" s="98"/>
      <c r="HL274" s="98"/>
      <c r="HM274" s="98"/>
      <c r="HN274" s="98"/>
      <c r="HO274" s="98"/>
      <c r="HP274" s="98"/>
      <c r="HQ274" s="98"/>
      <c r="HR274" s="98"/>
      <c r="HS274" s="98"/>
      <c r="HT274" s="98"/>
      <c r="HU274" s="98"/>
      <c r="HV274" s="98"/>
      <c r="HW274" s="98"/>
      <c r="HX274" s="98"/>
      <c r="HY274" s="98"/>
      <c r="HZ274" s="98"/>
      <c r="IA274" s="98"/>
      <c r="IB274" s="98"/>
      <c r="IC274" s="98"/>
      <c r="ID274" s="98"/>
      <c r="IE274" s="98"/>
      <c r="IF274" s="98"/>
      <c r="IG274" s="98"/>
      <c r="IH274" s="98"/>
      <c r="II274" s="98"/>
      <c r="IJ274" s="98"/>
      <c r="IK274" s="98"/>
      <c r="IL274" s="98"/>
      <c r="IM274" s="98"/>
      <c r="IN274" s="98"/>
      <c r="IO274" s="98"/>
      <c r="IP274" s="98"/>
      <c r="IQ274" s="98"/>
      <c r="IR274" s="98"/>
      <c r="IS274" s="98"/>
      <c r="IT274" s="98"/>
      <c r="IU274" s="98"/>
      <c r="IV274" s="98"/>
      <c r="IW274" s="98"/>
    </row>
    <row r="275" customFormat="false" ht="12.75" hidden="false" customHeight="true" outlineLevel="0" collapsed="false">
      <c r="N275" s="360" t="n">
        <f aca="false">SUM(N271:N274)</f>
        <v>29406.6</v>
      </c>
      <c r="O275" s="360" t="n">
        <f aca="false">SUM(O271:O274)</f>
        <v>26560.8</v>
      </c>
      <c r="P275" s="360" t="n">
        <f aca="false">SUM(P271:P274)</f>
        <v>29406.6</v>
      </c>
      <c r="Q275" s="360" t="n">
        <f aca="false">SUM(Q271:Q274)</f>
        <v>28458</v>
      </c>
      <c r="R275" s="360" t="n">
        <f aca="false">SUM(R271:R274)</f>
        <v>29406.6</v>
      </c>
      <c r="S275" s="360" t="n">
        <f aca="false">SUM(S271:S274)</f>
        <v>28458</v>
      </c>
      <c r="T275" s="360" t="n">
        <f aca="false">SUM(T271:T274)</f>
        <v>29406.6</v>
      </c>
      <c r="U275" s="360" t="n">
        <f aca="false">SUM(U271:U274)</f>
        <v>29406.6</v>
      </c>
      <c r="V275" s="360" t="n">
        <f aca="false">SUM(V271:V274)</f>
        <v>28458</v>
      </c>
      <c r="W275" s="360" t="n">
        <f aca="false">SUM(W271:W274)</f>
        <v>29406.6</v>
      </c>
      <c r="X275" s="360" t="n">
        <f aca="false">SUM(X271:X274)</f>
        <v>28458</v>
      </c>
      <c r="Y275" s="360" t="n">
        <f aca="false">SUM(Y271:Y274)</f>
        <v>29406.6</v>
      </c>
      <c r="Z275" s="417" t="n">
        <f aca="false">SUM(N275:Y275)</f>
        <v>346239</v>
      </c>
      <c r="AE275" s="417" t="n">
        <f aca="false">Z275</f>
        <v>346239</v>
      </c>
    </row>
    <row r="276" customFormat="false" ht="12.75" hidden="false" customHeight="true" outlineLevel="0" collapsed="false">
      <c r="A276" s="422"/>
      <c r="B276" s="422"/>
      <c r="C276" s="422"/>
      <c r="D276" s="422"/>
      <c r="E276" s="423"/>
      <c r="F276" s="422"/>
      <c r="G276" s="422"/>
      <c r="H276" s="423"/>
      <c r="I276" s="424"/>
      <c r="J276" s="422"/>
      <c r="K276" s="425"/>
      <c r="L276" s="422"/>
      <c r="M276" s="426"/>
      <c r="N276" s="424"/>
      <c r="O276" s="424"/>
      <c r="P276" s="424"/>
      <c r="Q276" s="424"/>
      <c r="R276" s="424"/>
      <c r="S276" s="424"/>
      <c r="T276" s="424"/>
      <c r="U276" s="424"/>
      <c r="V276" s="424"/>
      <c r="W276" s="424"/>
      <c r="X276" s="424"/>
      <c r="Y276" s="424"/>
      <c r="Z276" s="422"/>
      <c r="AA276" s="422"/>
      <c r="AB276" s="422"/>
      <c r="AC276" s="422"/>
      <c r="AD276" s="422"/>
      <c r="AE276" s="422"/>
      <c r="AF276" s="422"/>
      <c r="AG276" s="422"/>
      <c r="AH276" s="422"/>
      <c r="AI276" s="422"/>
      <c r="AJ276" s="422"/>
      <c r="AK276" s="422"/>
      <c r="AL276" s="422"/>
      <c r="AM276" s="422"/>
      <c r="AN276" s="422"/>
      <c r="AO276" s="422"/>
      <c r="AP276" s="422"/>
      <c r="AQ276" s="422"/>
      <c r="AR276" s="422"/>
      <c r="AS276" s="422"/>
      <c r="AT276" s="422"/>
      <c r="AU276" s="422"/>
      <c r="AV276" s="422"/>
      <c r="AW276" s="422"/>
      <c r="AX276" s="422"/>
      <c r="AY276" s="422"/>
      <c r="AZ276" s="422"/>
      <c r="BA276" s="422"/>
      <c r="BB276" s="422"/>
      <c r="BC276" s="422"/>
      <c r="BD276" s="422"/>
      <c r="BE276" s="422"/>
      <c r="BF276" s="422"/>
      <c r="BG276" s="422"/>
      <c r="BH276" s="422"/>
      <c r="BI276" s="422"/>
      <c r="BJ276" s="422"/>
      <c r="BK276" s="422"/>
      <c r="BL276" s="422"/>
      <c r="BM276" s="422"/>
      <c r="BN276" s="422"/>
      <c r="BO276" s="422"/>
      <c r="BP276" s="422"/>
      <c r="BQ276" s="422"/>
      <c r="BR276" s="422"/>
      <c r="BS276" s="422"/>
      <c r="BT276" s="422"/>
      <c r="BU276" s="422"/>
      <c r="BV276" s="422"/>
      <c r="BW276" s="422"/>
      <c r="BX276" s="422"/>
      <c r="BY276" s="422"/>
      <c r="BZ276" s="422"/>
      <c r="CA276" s="422"/>
      <c r="CB276" s="422"/>
      <c r="CC276" s="422"/>
      <c r="CD276" s="422"/>
      <c r="CE276" s="422"/>
      <c r="CF276" s="422"/>
      <c r="CG276" s="422"/>
      <c r="CH276" s="422"/>
      <c r="CI276" s="422"/>
      <c r="CJ276" s="422"/>
      <c r="CK276" s="422"/>
      <c r="CL276" s="422"/>
      <c r="CM276" s="422"/>
      <c r="CN276" s="422"/>
      <c r="CO276" s="422"/>
      <c r="CP276" s="422"/>
      <c r="CQ276" s="422"/>
      <c r="CR276" s="422"/>
      <c r="CS276" s="422"/>
      <c r="CT276" s="422"/>
      <c r="CU276" s="422"/>
      <c r="CV276" s="422"/>
      <c r="CW276" s="422"/>
      <c r="CX276" s="422"/>
      <c r="CY276" s="422"/>
      <c r="CZ276" s="422"/>
      <c r="DA276" s="422"/>
      <c r="DB276" s="422"/>
      <c r="DC276" s="422"/>
      <c r="DD276" s="422"/>
      <c r="DE276" s="422"/>
      <c r="DF276" s="422"/>
      <c r="DG276" s="422"/>
      <c r="DH276" s="422"/>
      <c r="DI276" s="422"/>
      <c r="DJ276" s="422"/>
      <c r="DK276" s="422"/>
      <c r="DL276" s="422"/>
      <c r="DM276" s="422"/>
      <c r="DN276" s="422"/>
      <c r="DO276" s="422"/>
      <c r="DP276" s="422"/>
      <c r="DQ276" s="422"/>
      <c r="DR276" s="422"/>
      <c r="DS276" s="422"/>
      <c r="DT276" s="422"/>
      <c r="DU276" s="422"/>
      <c r="DV276" s="422"/>
      <c r="DW276" s="422"/>
      <c r="DX276" s="422"/>
      <c r="DY276" s="422"/>
      <c r="DZ276" s="422"/>
      <c r="EA276" s="422"/>
      <c r="EB276" s="422"/>
      <c r="EC276" s="422"/>
      <c r="ED276" s="422"/>
      <c r="EE276" s="422"/>
      <c r="EF276" s="422"/>
      <c r="EG276" s="422"/>
      <c r="EH276" s="422"/>
      <c r="EI276" s="422"/>
      <c r="EJ276" s="422"/>
      <c r="EK276" s="422"/>
      <c r="EL276" s="422"/>
      <c r="EM276" s="422"/>
      <c r="EN276" s="422"/>
      <c r="EO276" s="422"/>
      <c r="EP276" s="422"/>
      <c r="EQ276" s="422"/>
      <c r="ER276" s="422"/>
      <c r="ES276" s="422"/>
      <c r="ET276" s="422"/>
      <c r="EU276" s="422"/>
      <c r="EV276" s="422"/>
      <c r="EW276" s="422"/>
      <c r="EX276" s="422"/>
      <c r="EY276" s="422"/>
      <c r="EZ276" s="422"/>
      <c r="FA276" s="422"/>
      <c r="FB276" s="422"/>
      <c r="FC276" s="422"/>
      <c r="FD276" s="422"/>
      <c r="FE276" s="422"/>
      <c r="FF276" s="422"/>
      <c r="FG276" s="422"/>
      <c r="FH276" s="422"/>
      <c r="FI276" s="422"/>
      <c r="FJ276" s="422"/>
      <c r="FK276" s="422"/>
      <c r="FL276" s="422"/>
      <c r="FM276" s="422"/>
      <c r="FN276" s="422"/>
      <c r="FO276" s="422"/>
      <c r="FP276" s="422"/>
      <c r="FQ276" s="422"/>
      <c r="FR276" s="422"/>
      <c r="FS276" s="422"/>
      <c r="FT276" s="422"/>
      <c r="FU276" s="422"/>
      <c r="FV276" s="422"/>
      <c r="FW276" s="422"/>
      <c r="FX276" s="422"/>
      <c r="FY276" s="422"/>
      <c r="FZ276" s="422"/>
      <c r="GA276" s="422"/>
      <c r="GB276" s="422"/>
      <c r="GC276" s="422"/>
      <c r="GD276" s="422"/>
      <c r="GE276" s="422"/>
      <c r="GF276" s="422"/>
      <c r="GG276" s="422"/>
      <c r="GH276" s="422"/>
      <c r="GI276" s="422"/>
      <c r="GJ276" s="422"/>
      <c r="GK276" s="422"/>
      <c r="GL276" s="422"/>
      <c r="GM276" s="422"/>
      <c r="GN276" s="422"/>
      <c r="GO276" s="422"/>
      <c r="GP276" s="422"/>
      <c r="GQ276" s="422"/>
      <c r="GR276" s="422"/>
      <c r="GS276" s="422"/>
      <c r="GT276" s="422"/>
      <c r="GU276" s="422"/>
      <c r="GV276" s="422"/>
      <c r="GW276" s="422"/>
      <c r="GX276" s="422"/>
      <c r="GY276" s="422"/>
      <c r="GZ276" s="422"/>
      <c r="HA276" s="422"/>
      <c r="HB276" s="422"/>
      <c r="HC276" s="422"/>
      <c r="HD276" s="422"/>
      <c r="HE276" s="422"/>
      <c r="HF276" s="422"/>
      <c r="HG276" s="422"/>
      <c r="HH276" s="422"/>
      <c r="HI276" s="422"/>
      <c r="HJ276" s="422"/>
      <c r="HK276" s="422"/>
      <c r="HL276" s="422"/>
      <c r="HM276" s="422"/>
      <c r="HN276" s="422"/>
      <c r="HO276" s="422"/>
      <c r="HP276" s="422"/>
      <c r="HQ276" s="422"/>
      <c r="HR276" s="422"/>
      <c r="HS276" s="422"/>
      <c r="HT276" s="422"/>
      <c r="HU276" s="422"/>
      <c r="HV276" s="422"/>
      <c r="HW276" s="422"/>
      <c r="HX276" s="422"/>
      <c r="HY276" s="422"/>
      <c r="HZ276" s="422"/>
      <c r="IA276" s="422"/>
      <c r="IB276" s="422"/>
      <c r="IC276" s="422"/>
      <c r="ID276" s="422"/>
      <c r="IE276" s="422"/>
      <c r="IF276" s="422"/>
      <c r="IG276" s="422"/>
      <c r="IH276" s="422"/>
      <c r="II276" s="422"/>
      <c r="IJ276" s="422"/>
      <c r="IK276" s="422"/>
      <c r="IL276" s="422"/>
      <c r="IM276" s="422"/>
      <c r="IN276" s="422"/>
      <c r="IO276" s="422"/>
      <c r="IP276" s="422"/>
      <c r="IQ276" s="422"/>
      <c r="IR276" s="422"/>
      <c r="IS276" s="422"/>
      <c r="IT276" s="422"/>
      <c r="IU276" s="422"/>
      <c r="IV276" s="422"/>
      <c r="IW276" s="422"/>
    </row>
    <row r="277" customFormat="false" ht="12.75" hidden="false" customHeight="true" outlineLevel="0" collapsed="false">
      <c r="A277" s="98"/>
      <c r="B277" s="98"/>
      <c r="C277" s="98"/>
      <c r="D277" s="98"/>
      <c r="E277" s="438"/>
      <c r="F277" s="98"/>
      <c r="G277" s="98"/>
      <c r="H277" s="438"/>
      <c r="J277" s="98"/>
      <c r="L277" s="98"/>
      <c r="M277" s="439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98"/>
      <c r="BM277" s="98"/>
      <c r="BN277" s="98"/>
      <c r="BO277" s="98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98"/>
      <c r="CA277" s="98"/>
      <c r="CB277" s="98"/>
      <c r="CC277" s="98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98"/>
      <c r="CO277" s="98"/>
      <c r="CP277" s="98"/>
      <c r="CQ277" s="98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98"/>
      <c r="DC277" s="98"/>
      <c r="DD277" s="98"/>
      <c r="DE277" s="98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98"/>
      <c r="DQ277" s="98"/>
      <c r="DR277" s="98"/>
      <c r="DS277" s="98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98"/>
      <c r="EE277" s="98"/>
      <c r="EF277" s="98"/>
      <c r="EG277" s="98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98"/>
      <c r="ES277" s="98"/>
      <c r="ET277" s="98"/>
      <c r="EU277" s="98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98"/>
      <c r="FG277" s="98"/>
      <c r="FH277" s="98"/>
      <c r="FI277" s="98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98"/>
      <c r="FU277" s="98"/>
      <c r="FV277" s="98"/>
      <c r="FW277" s="98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98"/>
      <c r="GI277" s="98"/>
      <c r="GJ277" s="98"/>
      <c r="GK277" s="98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98"/>
      <c r="GW277" s="98"/>
      <c r="GX277" s="98"/>
      <c r="GY277" s="98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  <c r="HJ277" s="98"/>
      <c r="HK277" s="98"/>
      <c r="HL277" s="98"/>
      <c r="HM277" s="98"/>
      <c r="HN277" s="98"/>
      <c r="HO277" s="98"/>
      <c r="HP277" s="98"/>
      <c r="HQ277" s="98"/>
      <c r="HR277" s="98"/>
      <c r="HS277" s="98"/>
      <c r="HT277" s="98"/>
      <c r="HU277" s="98"/>
      <c r="HV277" s="98"/>
      <c r="HW277" s="98"/>
      <c r="HX277" s="98"/>
      <c r="HY277" s="98"/>
      <c r="HZ277" s="98"/>
      <c r="IA277" s="98"/>
      <c r="IB277" s="98"/>
      <c r="IC277" s="98"/>
      <c r="ID277" s="98"/>
      <c r="IE277" s="98"/>
      <c r="IF277" s="98"/>
      <c r="IG277" s="98"/>
      <c r="IH277" s="98"/>
      <c r="II277" s="98"/>
      <c r="IJ277" s="98"/>
      <c r="IK277" s="98"/>
      <c r="IL277" s="98"/>
      <c r="IM277" s="98"/>
      <c r="IN277" s="98"/>
      <c r="IO277" s="98"/>
      <c r="IP277" s="98"/>
      <c r="IQ277" s="98"/>
      <c r="IR277" s="98"/>
      <c r="IS277" s="98"/>
      <c r="IT277" s="98"/>
      <c r="IU277" s="98"/>
      <c r="IV277" s="98"/>
      <c r="IW277" s="98"/>
    </row>
    <row r="278" customFormat="false" ht="12.75" hidden="false" customHeight="true" outlineLevel="0" collapsed="false">
      <c r="A278" s="294" t="s">
        <v>400</v>
      </c>
      <c r="B278" s="294" t="s">
        <v>401</v>
      </c>
      <c r="C278" s="294" t="s">
        <v>5</v>
      </c>
      <c r="D278" s="294" t="s">
        <v>332</v>
      </c>
      <c r="E278" s="359" t="n">
        <v>20715</v>
      </c>
      <c r="F278" s="294" t="s">
        <v>351</v>
      </c>
      <c r="H278" s="378" t="n">
        <v>38656</v>
      </c>
      <c r="I278" s="360" t="n">
        <v>200000</v>
      </c>
      <c r="M278" s="361" t="s">
        <v>373</v>
      </c>
      <c r="N278" s="360" t="n">
        <f aca="false">$I278*N$1</f>
        <v>6200000</v>
      </c>
      <c r="O278" s="360" t="n">
        <f aca="false">$I278*O$1</f>
        <v>5600000</v>
      </c>
      <c r="P278" s="360" t="n">
        <f aca="false">$I278*P$1</f>
        <v>6200000</v>
      </c>
      <c r="Q278" s="360" t="n">
        <f aca="false">$I278*Q$1</f>
        <v>6000000</v>
      </c>
      <c r="R278" s="360" t="n">
        <f aca="false">$I278*R$1</f>
        <v>6200000</v>
      </c>
      <c r="S278" s="360" t="n">
        <f aca="false">$I278*S$1</f>
        <v>6000000</v>
      </c>
      <c r="T278" s="360" t="n">
        <f aca="false">$I278*T$1</f>
        <v>6200000</v>
      </c>
      <c r="U278" s="360" t="n">
        <f aca="false">$I278*U$1</f>
        <v>6200000</v>
      </c>
      <c r="V278" s="360" t="n">
        <f aca="false">$I278*V$1</f>
        <v>6000000</v>
      </c>
      <c r="W278" s="360" t="n">
        <f aca="false">$I278*W$1</f>
        <v>6200000</v>
      </c>
      <c r="X278" s="360" t="n">
        <f aca="false">$I278*X$1</f>
        <v>6000000</v>
      </c>
      <c r="Y278" s="360" t="n">
        <f aca="false">$I278*Y$1</f>
        <v>6200000</v>
      </c>
    </row>
    <row r="279" customFormat="false" ht="12.75" hidden="false" customHeight="true" outlineLevel="0" collapsed="false">
      <c r="A279" s="294" t="s">
        <v>400</v>
      </c>
      <c r="B279" s="294" t="s">
        <v>401</v>
      </c>
      <c r="C279" s="294" t="s">
        <v>5</v>
      </c>
      <c r="D279" s="294" t="s">
        <v>332</v>
      </c>
      <c r="E279" s="359" t="n">
        <v>20834</v>
      </c>
      <c r="F279" s="294" t="s">
        <v>375</v>
      </c>
      <c r="H279" s="378" t="n">
        <v>39141</v>
      </c>
      <c r="I279" s="360" t="n">
        <v>25000</v>
      </c>
      <c r="M279" s="361" t="s">
        <v>373</v>
      </c>
      <c r="N279" s="360" t="n">
        <f aca="false">$I279*N$1</f>
        <v>775000</v>
      </c>
      <c r="O279" s="360" t="n">
        <f aca="false">$I279*O$1</f>
        <v>700000</v>
      </c>
      <c r="P279" s="360" t="n">
        <f aca="false">$I279*P$1</f>
        <v>775000</v>
      </c>
      <c r="Q279" s="360" t="n">
        <f aca="false">$I279*Q$1</f>
        <v>750000</v>
      </c>
      <c r="R279" s="360" t="n">
        <f aca="false">$I279*R$1</f>
        <v>775000</v>
      </c>
      <c r="S279" s="360" t="n">
        <f aca="false">$I279*S$1</f>
        <v>750000</v>
      </c>
      <c r="T279" s="360" t="n">
        <f aca="false">$I279*T$1</f>
        <v>775000</v>
      </c>
      <c r="U279" s="360" t="n">
        <f aca="false">$I279*U$1</f>
        <v>775000</v>
      </c>
      <c r="V279" s="360" t="n">
        <f aca="false">$I279*V$1</f>
        <v>750000</v>
      </c>
      <c r="W279" s="360" t="n">
        <f aca="false">$I279*W$1</f>
        <v>775000</v>
      </c>
      <c r="X279" s="360" t="n">
        <f aca="false">$I279*X$1</f>
        <v>750000</v>
      </c>
      <c r="Y279" s="360" t="n">
        <f aca="false">$I279*Y$1</f>
        <v>775000</v>
      </c>
    </row>
    <row r="280" customFormat="false" ht="12.75" hidden="false" customHeight="true" outlineLevel="0" collapsed="false">
      <c r="A280" s="294" t="s">
        <v>400</v>
      </c>
      <c r="B280" s="294" t="s">
        <v>401</v>
      </c>
      <c r="C280" s="294" t="s">
        <v>5</v>
      </c>
      <c r="D280" s="294" t="s">
        <v>332</v>
      </c>
      <c r="E280" s="359" t="n">
        <v>20835</v>
      </c>
      <c r="F280" s="294" t="s">
        <v>374</v>
      </c>
      <c r="H280" s="378" t="n">
        <v>37315</v>
      </c>
      <c r="I280" s="360" t="n">
        <v>20000</v>
      </c>
      <c r="M280" s="361" t="s">
        <v>373</v>
      </c>
      <c r="N280" s="360" t="n">
        <f aca="false">$I280*N$1</f>
        <v>620000</v>
      </c>
      <c r="O280" s="360" t="n">
        <f aca="false">$I280*O$1</f>
        <v>560000</v>
      </c>
      <c r="P280" s="360" t="n">
        <f aca="false">$I280*P$1</f>
        <v>620000</v>
      </c>
      <c r="Q280" s="360" t="n">
        <f aca="false">$I280*Q$1</f>
        <v>600000</v>
      </c>
      <c r="R280" s="360" t="n">
        <f aca="false">$I280*R$1</f>
        <v>620000</v>
      </c>
      <c r="S280" s="360" t="n">
        <f aca="false">$I280*S$1</f>
        <v>600000</v>
      </c>
      <c r="T280" s="360" t="n">
        <f aca="false">$I280*T$1</f>
        <v>620000</v>
      </c>
      <c r="U280" s="360" t="n">
        <f aca="false">$I280*U$1</f>
        <v>620000</v>
      </c>
      <c r="V280" s="360" t="n">
        <f aca="false">$I280*V$1</f>
        <v>600000</v>
      </c>
      <c r="W280" s="360" t="n">
        <f aca="false">$I280*W$1</f>
        <v>620000</v>
      </c>
      <c r="X280" s="360" t="n">
        <f aca="false">$I280*X$1</f>
        <v>600000</v>
      </c>
      <c r="Y280" s="360" t="n">
        <f aca="false">$I280*Y$1</f>
        <v>620000</v>
      </c>
    </row>
    <row r="281" customFormat="false" ht="12.75" hidden="false" customHeight="true" outlineLevel="0" collapsed="false">
      <c r="A281" s="294" t="s">
        <v>400</v>
      </c>
      <c r="B281" s="294" t="s">
        <v>401</v>
      </c>
      <c r="C281" s="294" t="s">
        <v>5</v>
      </c>
      <c r="D281" s="294" t="s">
        <v>332</v>
      </c>
      <c r="E281" s="359" t="n">
        <v>26677</v>
      </c>
      <c r="F281" s="294" t="s">
        <v>376</v>
      </c>
      <c r="H281" s="378" t="n">
        <v>39172</v>
      </c>
      <c r="I281" s="360" t="n">
        <v>25000</v>
      </c>
      <c r="M281" s="361" t="s">
        <v>402</v>
      </c>
      <c r="N281" s="360" t="n">
        <f aca="false">$I281*N$1</f>
        <v>775000</v>
      </c>
      <c r="O281" s="360" t="n">
        <f aca="false">$I281*O$1</f>
        <v>700000</v>
      </c>
      <c r="P281" s="360" t="n">
        <f aca="false">$I281*P$1</f>
        <v>775000</v>
      </c>
      <c r="Q281" s="360" t="n">
        <f aca="false">$I281*Q$1</f>
        <v>750000</v>
      </c>
      <c r="R281" s="360" t="n">
        <f aca="false">$I281*R$1</f>
        <v>775000</v>
      </c>
      <c r="S281" s="360" t="n">
        <f aca="false">$I281*S$1</f>
        <v>750000</v>
      </c>
      <c r="T281" s="360" t="n">
        <f aca="false">$I281*T$1</f>
        <v>775000</v>
      </c>
      <c r="U281" s="360" t="n">
        <f aca="false">$I281*U$1</f>
        <v>775000</v>
      </c>
      <c r="V281" s="360" t="n">
        <f aca="false">$I281*V$1</f>
        <v>750000</v>
      </c>
      <c r="W281" s="360" t="n">
        <f aca="false">$I281*W$1</f>
        <v>775000</v>
      </c>
      <c r="X281" s="360" t="n">
        <f aca="false">$I281*X$1</f>
        <v>750000</v>
      </c>
      <c r="Y281" s="360" t="n">
        <f aca="false">$I281*Y$1</f>
        <v>775000</v>
      </c>
    </row>
    <row r="282" customFormat="false" ht="12.75" hidden="false" customHeight="true" outlineLevel="0" collapsed="false">
      <c r="A282" s="294" t="s">
        <v>400</v>
      </c>
      <c r="B282" s="294" t="s">
        <v>401</v>
      </c>
      <c r="C282" s="294" t="s">
        <v>5</v>
      </c>
      <c r="D282" s="294" t="s">
        <v>332</v>
      </c>
      <c r="E282" s="359" t="n">
        <v>26371</v>
      </c>
      <c r="F282" s="294" t="s">
        <v>378</v>
      </c>
      <c r="H282" s="378" t="n">
        <v>39172</v>
      </c>
      <c r="I282" s="360" t="n">
        <v>25000</v>
      </c>
      <c r="M282" s="361" t="s">
        <v>402</v>
      </c>
      <c r="N282" s="360" t="n">
        <f aca="false">$I282*N$1</f>
        <v>775000</v>
      </c>
      <c r="O282" s="360" t="n">
        <f aca="false">$I282*O$1</f>
        <v>700000</v>
      </c>
      <c r="P282" s="360" t="n">
        <f aca="false">$I282*P$1</f>
        <v>775000</v>
      </c>
      <c r="Q282" s="360" t="n">
        <f aca="false">$I282*Q$1</f>
        <v>750000</v>
      </c>
      <c r="R282" s="360" t="n">
        <f aca="false">$I282*R$1</f>
        <v>775000</v>
      </c>
      <c r="S282" s="360" t="n">
        <f aca="false">$I282*S$1</f>
        <v>750000</v>
      </c>
      <c r="T282" s="360" t="n">
        <f aca="false">$I282*T$1</f>
        <v>775000</v>
      </c>
      <c r="U282" s="360" t="n">
        <f aca="false">$I282*U$1</f>
        <v>775000</v>
      </c>
      <c r="V282" s="360" t="n">
        <f aca="false">$I282*V$1</f>
        <v>750000</v>
      </c>
      <c r="W282" s="360" t="n">
        <f aca="false">$I282*W$1</f>
        <v>775000</v>
      </c>
      <c r="X282" s="360" t="n">
        <f aca="false">$I282*X$1</f>
        <v>750000</v>
      </c>
      <c r="Y282" s="360" t="n">
        <f aca="false">$I282*Y$1</f>
        <v>775000</v>
      </c>
    </row>
    <row r="283" customFormat="false" ht="12.75" hidden="false" customHeight="true" outlineLevel="0" collapsed="false">
      <c r="A283" s="294" t="s">
        <v>400</v>
      </c>
      <c r="B283" s="294" t="s">
        <v>401</v>
      </c>
      <c r="C283" s="294" t="s">
        <v>5</v>
      </c>
      <c r="D283" s="294" t="s">
        <v>332</v>
      </c>
      <c r="E283" s="359" t="n">
        <v>21175</v>
      </c>
      <c r="F283" s="294" t="s">
        <v>353</v>
      </c>
      <c r="H283" s="378" t="n">
        <v>39172</v>
      </c>
      <c r="I283" s="360" t="n">
        <v>150000</v>
      </c>
      <c r="M283" s="361" t="s">
        <v>402</v>
      </c>
      <c r="N283" s="360" t="n">
        <f aca="false">$I283*N$1</f>
        <v>4650000</v>
      </c>
      <c r="O283" s="360" t="n">
        <f aca="false">$I283*O$1</f>
        <v>4200000</v>
      </c>
      <c r="P283" s="360" t="n">
        <f aca="false">$I283*P$1</f>
        <v>4650000</v>
      </c>
      <c r="Q283" s="360" t="n">
        <f aca="false">$I283*Q$1</f>
        <v>4500000</v>
      </c>
      <c r="R283" s="360" t="n">
        <f aca="false">$I283*R$1</f>
        <v>4650000</v>
      </c>
      <c r="S283" s="360" t="n">
        <f aca="false">$I283*S$1</f>
        <v>4500000</v>
      </c>
      <c r="T283" s="360" t="n">
        <f aca="false">$I283*T$1</f>
        <v>4650000</v>
      </c>
      <c r="U283" s="360" t="n">
        <f aca="false">$I283*U$1</f>
        <v>4650000</v>
      </c>
      <c r="V283" s="360" t="n">
        <f aca="false">$I283*V$1</f>
        <v>4500000</v>
      </c>
      <c r="W283" s="360" t="n">
        <f aca="false">$I283*W$1</f>
        <v>4650000</v>
      </c>
      <c r="X283" s="360" t="n">
        <f aca="false">$I283*X$1</f>
        <v>4500000</v>
      </c>
      <c r="Y283" s="360" t="n">
        <f aca="false">$I283*Y$1</f>
        <v>4650000</v>
      </c>
    </row>
    <row r="284" customFormat="false" ht="12.75" hidden="false" customHeight="true" outlineLevel="0" collapsed="false">
      <c r="A284" s="294" t="s">
        <v>400</v>
      </c>
      <c r="B284" s="294" t="s">
        <v>401</v>
      </c>
      <c r="C284" s="294" t="s">
        <v>5</v>
      </c>
      <c r="D284" s="294" t="s">
        <v>332</v>
      </c>
      <c r="E284" s="359" t="n">
        <v>21375</v>
      </c>
      <c r="F284" s="294" t="s">
        <v>403</v>
      </c>
      <c r="H284" s="378" t="n">
        <v>39141</v>
      </c>
      <c r="I284" s="360" t="n">
        <v>20000</v>
      </c>
      <c r="M284" s="361" t="s">
        <v>373</v>
      </c>
      <c r="N284" s="360" t="n">
        <f aca="false">$I284*N$1</f>
        <v>620000</v>
      </c>
      <c r="O284" s="360" t="n">
        <f aca="false">$I284*O$1</f>
        <v>560000</v>
      </c>
      <c r="P284" s="360" t="n">
        <f aca="false">$I284*P$1</f>
        <v>620000</v>
      </c>
      <c r="Q284" s="360" t="n">
        <f aca="false">$I284*Q$1</f>
        <v>600000</v>
      </c>
      <c r="R284" s="360" t="n">
        <f aca="false">$I284*R$1</f>
        <v>620000</v>
      </c>
      <c r="S284" s="360" t="n">
        <f aca="false">$I284*S$1</f>
        <v>600000</v>
      </c>
      <c r="T284" s="360" t="n">
        <f aca="false">$I284*T$1</f>
        <v>620000</v>
      </c>
      <c r="U284" s="360" t="n">
        <f aca="false">$I284*U$1</f>
        <v>620000</v>
      </c>
      <c r="V284" s="360" t="n">
        <f aca="false">$I284*V$1</f>
        <v>600000</v>
      </c>
      <c r="W284" s="360" t="n">
        <f aca="false">$I284*W$1</f>
        <v>620000</v>
      </c>
      <c r="X284" s="360" t="n">
        <f aca="false">$I284*X$1</f>
        <v>600000</v>
      </c>
      <c r="Y284" s="360" t="n">
        <f aca="false">$I284*Y$1</f>
        <v>620000</v>
      </c>
    </row>
    <row r="286" customFormat="false" ht="12.75" hidden="false" customHeight="true" outlineLevel="0" collapsed="false">
      <c r="I286" s="368"/>
      <c r="N286" s="368"/>
      <c r="O286" s="368"/>
      <c r="P286" s="368"/>
      <c r="Q286" s="368"/>
      <c r="R286" s="368"/>
      <c r="S286" s="368"/>
      <c r="T286" s="368"/>
      <c r="U286" s="368"/>
      <c r="V286" s="368"/>
      <c r="W286" s="368"/>
      <c r="X286" s="368"/>
      <c r="Y286" s="368"/>
    </row>
    <row r="287" customFormat="false" ht="12.75" hidden="false" customHeight="true" outlineLevel="0" collapsed="false">
      <c r="I287" s="360" t="n">
        <f aca="false">SUM(I278:I286)</f>
        <v>465000</v>
      </c>
      <c r="N287" s="360" t="n">
        <f aca="false">SUM(N278:N286)</f>
        <v>14415000</v>
      </c>
      <c r="O287" s="360" t="n">
        <f aca="false">SUM(O278:O286)</f>
        <v>13020000</v>
      </c>
      <c r="P287" s="360" t="n">
        <f aca="false">SUM(P278:P286)</f>
        <v>14415000</v>
      </c>
      <c r="Q287" s="360" t="n">
        <f aca="false">SUM(Q278:Q286)</f>
        <v>13950000</v>
      </c>
      <c r="R287" s="360" t="n">
        <f aca="false">SUM(R278:R286)</f>
        <v>14415000</v>
      </c>
      <c r="S287" s="360" t="n">
        <f aca="false">SUM(S278:S286)</f>
        <v>13950000</v>
      </c>
      <c r="T287" s="360" t="n">
        <f aca="false">SUM(T278:T286)</f>
        <v>14415000</v>
      </c>
      <c r="U287" s="360" t="n">
        <f aca="false">SUM(U278:U286)</f>
        <v>14415000</v>
      </c>
      <c r="V287" s="360" t="n">
        <f aca="false">SUM(V278:V286)</f>
        <v>13950000</v>
      </c>
      <c r="W287" s="360" t="n">
        <f aca="false">SUM(W278:W286)</f>
        <v>14415000</v>
      </c>
      <c r="X287" s="360" t="n">
        <f aca="false">SUM(X278:X286)</f>
        <v>13950000</v>
      </c>
      <c r="Y287" s="360" t="n">
        <f aca="false">SUM(Y278:Y286)</f>
        <v>14415000</v>
      </c>
    </row>
    <row r="289" customFormat="false" ht="12.75" hidden="false" customHeight="true" outlineLevel="0" collapsed="false">
      <c r="A289" s="397" t="s">
        <v>404</v>
      </c>
      <c r="B289" s="398"/>
      <c r="C289" s="398"/>
      <c r="D289" s="398"/>
      <c r="E289" s="399"/>
      <c r="F289" s="398"/>
      <c r="G289" s="398"/>
      <c r="H289" s="399"/>
      <c r="I289" s="400"/>
      <c r="J289" s="398"/>
      <c r="K289" s="401"/>
      <c r="L289" s="398"/>
      <c r="M289" s="402"/>
      <c r="N289" s="403" t="n">
        <v>0.97</v>
      </c>
      <c r="O289" s="403" t="n">
        <v>1</v>
      </c>
      <c r="P289" s="403" t="n">
        <v>0.95</v>
      </c>
      <c r="Q289" s="403" t="n">
        <v>0.95</v>
      </c>
      <c r="R289" s="403" t="n">
        <v>0.95</v>
      </c>
      <c r="S289" s="403" t="n">
        <v>0.93</v>
      </c>
      <c r="T289" s="403" t="n">
        <v>0.92</v>
      </c>
      <c r="U289" s="403" t="n">
        <v>0.9</v>
      </c>
      <c r="V289" s="403" t="n">
        <v>0.91</v>
      </c>
      <c r="W289" s="403" t="n">
        <v>0.915</v>
      </c>
      <c r="X289" s="403" t="n">
        <v>0.913</v>
      </c>
      <c r="Y289" s="405" t="n">
        <v>0.921</v>
      </c>
    </row>
    <row r="290" customFormat="false" ht="12.75" hidden="false" customHeight="true" outlineLevel="0" collapsed="false">
      <c r="A290" s="294" t="s">
        <v>400</v>
      </c>
      <c r="B290" s="294" t="s">
        <v>401</v>
      </c>
      <c r="C290" s="294" t="s">
        <v>5</v>
      </c>
      <c r="D290" s="294" t="s">
        <v>329</v>
      </c>
      <c r="E290" s="359" t="n">
        <v>20715</v>
      </c>
      <c r="F290" s="294" t="s">
        <v>351</v>
      </c>
      <c r="H290" s="378" t="n">
        <v>38656</v>
      </c>
      <c r="I290" s="360" t="n">
        <v>200000</v>
      </c>
      <c r="M290" s="361" t="s">
        <v>373</v>
      </c>
      <c r="N290" s="360" t="n">
        <f aca="false">N278*N$289</f>
        <v>6014000</v>
      </c>
      <c r="O290" s="360" t="n">
        <f aca="false">O278*O$289</f>
        <v>5600000</v>
      </c>
      <c r="P290" s="360" t="n">
        <f aca="false">P278*P$289</f>
        <v>5890000</v>
      </c>
      <c r="Q290" s="360" t="n">
        <f aca="false">Q278*Q$289</f>
        <v>5700000</v>
      </c>
      <c r="R290" s="360" t="n">
        <f aca="false">R278*R$289</f>
        <v>5890000</v>
      </c>
      <c r="S290" s="360" t="n">
        <f aca="false">S278*S$289</f>
        <v>5580000</v>
      </c>
      <c r="T290" s="360" t="n">
        <f aca="false">T278*T$289</f>
        <v>5704000</v>
      </c>
      <c r="U290" s="360" t="n">
        <f aca="false">U278*U$289</f>
        <v>5580000</v>
      </c>
      <c r="V290" s="360" t="n">
        <f aca="false">V278*V$289</f>
        <v>5460000</v>
      </c>
      <c r="W290" s="360" t="n">
        <f aca="false">W278*W$289</f>
        <v>5673000</v>
      </c>
      <c r="X290" s="360" t="n">
        <f aca="false">X278*X$289</f>
        <v>5478000</v>
      </c>
      <c r="Y290" s="360" t="n">
        <f aca="false">Y278*Y$289</f>
        <v>5710200</v>
      </c>
    </row>
    <row r="291" customFormat="false" ht="12.75" hidden="false" customHeight="true" outlineLevel="0" collapsed="false">
      <c r="B291" s="406" t="s">
        <v>364</v>
      </c>
      <c r="C291" s="406" t="s">
        <v>5</v>
      </c>
      <c r="D291" s="406" t="s">
        <v>329</v>
      </c>
      <c r="H291" s="378"/>
      <c r="R291" s="410" t="n">
        <v>0</v>
      </c>
    </row>
    <row r="292" customFormat="false" ht="12.75" hidden="false" customHeight="true" outlineLevel="0" collapsed="false">
      <c r="A292" s="294" t="s">
        <v>400</v>
      </c>
      <c r="B292" s="294" t="s">
        <v>401</v>
      </c>
      <c r="C292" s="294" t="s">
        <v>5</v>
      </c>
      <c r="D292" s="294" t="s">
        <v>329</v>
      </c>
      <c r="E292" s="359" t="n">
        <v>20834</v>
      </c>
      <c r="F292" s="294" t="s">
        <v>375</v>
      </c>
      <c r="H292" s="378" t="n">
        <v>39141</v>
      </c>
      <c r="I292" s="360" t="n">
        <v>25000</v>
      </c>
      <c r="M292" s="361" t="s">
        <v>373</v>
      </c>
      <c r="N292" s="360" t="n">
        <f aca="false">N279*N$289</f>
        <v>751750</v>
      </c>
      <c r="O292" s="360" t="n">
        <f aca="false">O279*O$289</f>
        <v>700000</v>
      </c>
      <c r="P292" s="360" t="n">
        <f aca="false">P279*P$289</f>
        <v>736250</v>
      </c>
      <c r="Q292" s="360" t="n">
        <f aca="false">Q279*Q$289</f>
        <v>712500</v>
      </c>
      <c r="R292" s="360" t="n">
        <f aca="false">R279*R$289</f>
        <v>736250</v>
      </c>
      <c r="S292" s="360" t="n">
        <f aca="false">S279*S$289</f>
        <v>697500</v>
      </c>
      <c r="T292" s="360" t="n">
        <f aca="false">T279*T$289</f>
        <v>713000</v>
      </c>
      <c r="U292" s="360" t="n">
        <f aca="false">U279*U$289</f>
        <v>697500</v>
      </c>
      <c r="V292" s="360" t="n">
        <f aca="false">V279*V$289</f>
        <v>682500</v>
      </c>
      <c r="W292" s="360" t="n">
        <f aca="false">W279*W$289</f>
        <v>709125</v>
      </c>
      <c r="X292" s="360" t="n">
        <f aca="false">X279*X$289</f>
        <v>684750</v>
      </c>
      <c r="Y292" s="360" t="n">
        <f aca="false">Y279*Y$289</f>
        <v>713775</v>
      </c>
    </row>
    <row r="293" customFormat="false" ht="12.75" hidden="false" customHeight="true" outlineLevel="0" collapsed="false">
      <c r="A293" s="294" t="s">
        <v>400</v>
      </c>
      <c r="B293" s="294" t="s">
        <v>401</v>
      </c>
      <c r="C293" s="294" t="s">
        <v>5</v>
      </c>
      <c r="D293" s="294" t="s">
        <v>329</v>
      </c>
      <c r="E293" s="359" t="n">
        <v>20835</v>
      </c>
      <c r="F293" s="294" t="s">
        <v>374</v>
      </c>
      <c r="H293" s="378" t="n">
        <v>37315</v>
      </c>
      <c r="I293" s="360" t="n">
        <v>20000</v>
      </c>
      <c r="M293" s="361" t="s">
        <v>373</v>
      </c>
      <c r="N293" s="360" t="n">
        <f aca="false">N280*N$289</f>
        <v>601400</v>
      </c>
      <c r="O293" s="360" t="n">
        <f aca="false">O280*O$289</f>
        <v>560000</v>
      </c>
      <c r="P293" s="360" t="n">
        <f aca="false">P280*P$289</f>
        <v>589000</v>
      </c>
      <c r="Q293" s="360" t="n">
        <f aca="false">Q280*Q$289</f>
        <v>570000</v>
      </c>
      <c r="R293" s="360" t="n">
        <f aca="false">R280*R$289</f>
        <v>589000</v>
      </c>
      <c r="S293" s="360" t="n">
        <f aca="false">S280*S$289</f>
        <v>558000</v>
      </c>
      <c r="T293" s="360" t="n">
        <f aca="false">T280*T$289</f>
        <v>570400</v>
      </c>
      <c r="U293" s="360" t="n">
        <f aca="false">U280*U$289</f>
        <v>558000</v>
      </c>
      <c r="V293" s="360" t="n">
        <f aca="false">V280*V$289</f>
        <v>546000</v>
      </c>
      <c r="W293" s="360" t="n">
        <f aca="false">W280*W$289</f>
        <v>567300</v>
      </c>
      <c r="X293" s="360" t="n">
        <f aca="false">X280*X$289</f>
        <v>547800</v>
      </c>
      <c r="Y293" s="360" t="n">
        <f aca="false">Y280*Y$289</f>
        <v>571020</v>
      </c>
    </row>
    <row r="294" customFormat="false" ht="12.75" hidden="false" customHeight="true" outlineLevel="0" collapsed="false">
      <c r="A294" s="294" t="s">
        <v>400</v>
      </c>
      <c r="B294" s="294" t="s">
        <v>401</v>
      </c>
      <c r="C294" s="294" t="s">
        <v>5</v>
      </c>
      <c r="D294" s="294" t="s">
        <v>329</v>
      </c>
      <c r="E294" s="359" t="n">
        <v>26677</v>
      </c>
      <c r="F294" s="294" t="s">
        <v>376</v>
      </c>
      <c r="H294" s="378" t="n">
        <v>39172</v>
      </c>
      <c r="I294" s="360" t="n">
        <v>25000</v>
      </c>
      <c r="M294" s="361" t="s">
        <v>402</v>
      </c>
      <c r="N294" s="360" t="n">
        <f aca="false">N281*N$289</f>
        <v>751750</v>
      </c>
      <c r="O294" s="360" t="n">
        <f aca="false">O281*O$289</f>
        <v>700000</v>
      </c>
      <c r="P294" s="360" t="n">
        <f aca="false">P281*P$289</f>
        <v>736250</v>
      </c>
      <c r="Q294" s="360" t="n">
        <f aca="false">Q281*Q$289</f>
        <v>712500</v>
      </c>
      <c r="R294" s="360" t="n">
        <f aca="false">R281*R$289</f>
        <v>736250</v>
      </c>
      <c r="S294" s="360" t="n">
        <f aca="false">S281*S$289</f>
        <v>697500</v>
      </c>
      <c r="T294" s="360" t="n">
        <f aca="false">T281*T$289</f>
        <v>713000</v>
      </c>
      <c r="U294" s="360" t="n">
        <f aca="false">U281*U$289</f>
        <v>697500</v>
      </c>
      <c r="V294" s="360" t="n">
        <f aca="false">V281*V$289</f>
        <v>682500</v>
      </c>
      <c r="W294" s="360" t="n">
        <f aca="false">W281*W$289</f>
        <v>709125</v>
      </c>
      <c r="X294" s="360" t="n">
        <f aca="false">X281*X$289</f>
        <v>684750</v>
      </c>
      <c r="Y294" s="360" t="n">
        <f aca="false">Y281*Y$289</f>
        <v>713775</v>
      </c>
    </row>
    <row r="295" customFormat="false" ht="12.75" hidden="false" customHeight="true" outlineLevel="0" collapsed="false">
      <c r="A295" s="294" t="s">
        <v>400</v>
      </c>
      <c r="B295" s="294" t="s">
        <v>401</v>
      </c>
      <c r="C295" s="294" t="s">
        <v>5</v>
      </c>
      <c r="D295" s="294" t="s">
        <v>329</v>
      </c>
      <c r="E295" s="359" t="n">
        <v>26371</v>
      </c>
      <c r="F295" s="294" t="s">
        <v>378</v>
      </c>
      <c r="H295" s="378" t="n">
        <v>39172</v>
      </c>
      <c r="I295" s="360" t="n">
        <v>25000</v>
      </c>
      <c r="M295" s="361" t="s">
        <v>402</v>
      </c>
      <c r="N295" s="360" t="n">
        <f aca="false">N282*N$289</f>
        <v>751750</v>
      </c>
      <c r="O295" s="360" t="n">
        <f aca="false">O282*O$289</f>
        <v>700000</v>
      </c>
      <c r="P295" s="360" t="n">
        <f aca="false">P282*P$289</f>
        <v>736250</v>
      </c>
      <c r="Q295" s="360" t="n">
        <f aca="false">Q282*Q$289</f>
        <v>712500</v>
      </c>
      <c r="R295" s="360" t="n">
        <f aca="false">R282*R$289</f>
        <v>736250</v>
      </c>
      <c r="S295" s="360" t="n">
        <f aca="false">S282*S$289</f>
        <v>697500</v>
      </c>
      <c r="T295" s="360" t="n">
        <f aca="false">T282*T$289</f>
        <v>713000</v>
      </c>
      <c r="U295" s="360" t="n">
        <f aca="false">U282*U$289</f>
        <v>697500</v>
      </c>
      <c r="V295" s="360" t="n">
        <f aca="false">V282*V$289</f>
        <v>682500</v>
      </c>
      <c r="W295" s="360" t="n">
        <f aca="false">W282*W$289</f>
        <v>709125</v>
      </c>
      <c r="X295" s="360" t="n">
        <f aca="false">X282*X$289</f>
        <v>684750</v>
      </c>
      <c r="Y295" s="360" t="n">
        <f aca="false">Y282*Y$289</f>
        <v>713775</v>
      </c>
    </row>
    <row r="296" customFormat="false" ht="12.75" hidden="false" customHeight="true" outlineLevel="0" collapsed="false">
      <c r="A296" s="294" t="s">
        <v>400</v>
      </c>
      <c r="B296" s="294" t="s">
        <v>401</v>
      </c>
      <c r="C296" s="294" t="s">
        <v>5</v>
      </c>
      <c r="D296" s="294" t="s">
        <v>329</v>
      </c>
      <c r="E296" s="359" t="n">
        <v>21175</v>
      </c>
      <c r="F296" s="294" t="s">
        <v>353</v>
      </c>
      <c r="H296" s="378" t="n">
        <v>39172</v>
      </c>
      <c r="I296" s="360" t="n">
        <v>150000</v>
      </c>
      <c r="M296" s="361" t="s">
        <v>402</v>
      </c>
      <c r="N296" s="360" t="n">
        <f aca="false">N283*N$289</f>
        <v>4510500</v>
      </c>
      <c r="O296" s="360" t="n">
        <f aca="false">O283*O$289</f>
        <v>4200000</v>
      </c>
      <c r="P296" s="360" t="n">
        <f aca="false">P283*P$289</f>
        <v>4417500</v>
      </c>
      <c r="Q296" s="360" t="n">
        <f aca="false">Q283*Q$289</f>
        <v>4275000</v>
      </c>
      <c r="R296" s="360" t="n">
        <f aca="false">R283*R$289</f>
        <v>4417500</v>
      </c>
      <c r="S296" s="360" t="n">
        <f aca="false">S283*S$289</f>
        <v>4185000</v>
      </c>
      <c r="T296" s="360" t="n">
        <f aca="false">T283*T$289</f>
        <v>4278000</v>
      </c>
      <c r="U296" s="360" t="n">
        <f aca="false">U283*U$289</f>
        <v>4185000</v>
      </c>
      <c r="V296" s="360" t="n">
        <f aca="false">V283*V$289</f>
        <v>4095000</v>
      </c>
      <c r="W296" s="360" t="n">
        <f aca="false">W283*W$289</f>
        <v>4254750</v>
      </c>
      <c r="X296" s="360" t="n">
        <f aca="false">X283*X$289</f>
        <v>4108500</v>
      </c>
      <c r="Y296" s="360" t="n">
        <f aca="false">Y283*Y$289</f>
        <v>4282650</v>
      </c>
    </row>
    <row r="297" customFormat="false" ht="12.75" hidden="false" customHeight="true" outlineLevel="0" collapsed="false">
      <c r="A297" s="294" t="s">
        <v>400</v>
      </c>
      <c r="B297" s="294" t="s">
        <v>401</v>
      </c>
      <c r="C297" s="294" t="s">
        <v>5</v>
      </c>
      <c r="D297" s="294" t="s">
        <v>329</v>
      </c>
      <c r="E297" s="359" t="n">
        <v>21375</v>
      </c>
      <c r="F297" s="294" t="s">
        <v>403</v>
      </c>
      <c r="H297" s="378" t="n">
        <v>39141</v>
      </c>
      <c r="I297" s="360" t="n">
        <v>20000</v>
      </c>
      <c r="M297" s="361" t="s">
        <v>373</v>
      </c>
      <c r="N297" s="360" t="n">
        <f aca="false">N284*N$289</f>
        <v>601400</v>
      </c>
      <c r="O297" s="360" t="n">
        <f aca="false">O284*O$289</f>
        <v>560000</v>
      </c>
      <c r="P297" s="360" t="n">
        <f aca="false">P284*P$289</f>
        <v>589000</v>
      </c>
      <c r="Q297" s="360" t="n">
        <f aca="false">Q284*Q$289</f>
        <v>570000</v>
      </c>
      <c r="R297" s="360" t="n">
        <f aca="false">R284*R$289</f>
        <v>589000</v>
      </c>
      <c r="S297" s="360" t="n">
        <f aca="false">S284*S$289</f>
        <v>558000</v>
      </c>
      <c r="T297" s="360" t="n">
        <f aca="false">T284*T$289</f>
        <v>570400</v>
      </c>
      <c r="U297" s="360" t="n">
        <f aca="false">U284*U$289</f>
        <v>558000</v>
      </c>
      <c r="V297" s="360" t="n">
        <f aca="false">V284*V$289</f>
        <v>546000</v>
      </c>
      <c r="W297" s="360" t="n">
        <f aca="false">W284*W$289</f>
        <v>567300</v>
      </c>
      <c r="X297" s="360" t="n">
        <f aca="false">X284*X$289</f>
        <v>547800</v>
      </c>
      <c r="Y297" s="360" t="n">
        <f aca="false">Y284*Y$289</f>
        <v>571020</v>
      </c>
    </row>
    <row r="299" customFormat="false" ht="12.75" hidden="false" customHeight="true" outlineLevel="0" collapsed="false">
      <c r="I299" s="368"/>
      <c r="N299" s="368"/>
      <c r="O299" s="368"/>
      <c r="P299" s="368"/>
      <c r="Q299" s="368"/>
      <c r="R299" s="368"/>
      <c r="S299" s="368"/>
      <c r="T299" s="368"/>
      <c r="U299" s="368"/>
      <c r="V299" s="368"/>
      <c r="W299" s="368"/>
      <c r="X299" s="368"/>
      <c r="Y299" s="368"/>
    </row>
    <row r="300" customFormat="false" ht="12.75" hidden="false" customHeight="true" outlineLevel="0" collapsed="false">
      <c r="I300" s="360" t="n">
        <f aca="false">SUM(I290:I299)</f>
        <v>465000</v>
      </c>
      <c r="N300" s="360" t="n">
        <f aca="false">SUM(N290:N299)</f>
        <v>13982550</v>
      </c>
      <c r="O300" s="360" t="n">
        <f aca="false">SUM(O290:O299)</f>
        <v>13020000</v>
      </c>
      <c r="P300" s="360" t="n">
        <f aca="false">SUM(P290:P299)</f>
        <v>13694250</v>
      </c>
      <c r="Q300" s="360" t="n">
        <f aca="false">SUM(Q290:Q299)</f>
        <v>13252500</v>
      </c>
      <c r="R300" s="360" t="n">
        <f aca="false">SUM(R290:R299)</f>
        <v>13694250</v>
      </c>
      <c r="S300" s="360" t="n">
        <f aca="false">SUM(S290:S299)</f>
        <v>12973500</v>
      </c>
      <c r="T300" s="360" t="n">
        <f aca="false">SUM(T290:T299)</f>
        <v>13261800</v>
      </c>
      <c r="U300" s="360" t="n">
        <f aca="false">SUM(U290:U299)</f>
        <v>12973500</v>
      </c>
      <c r="V300" s="360" t="n">
        <f aca="false">SUM(V290:V299)</f>
        <v>12694500</v>
      </c>
      <c r="W300" s="360" t="n">
        <f aca="false">SUM(W290:W299)</f>
        <v>13189725</v>
      </c>
      <c r="X300" s="360" t="n">
        <f aca="false">SUM(X290:X299)</f>
        <v>12736350</v>
      </c>
      <c r="Y300" s="360" t="n">
        <f aca="false">SUM(Y290:Y299)</f>
        <v>13276215</v>
      </c>
    </row>
    <row r="303" customFormat="false" ht="12.75" hidden="false" customHeight="true" outlineLevel="0" collapsed="false">
      <c r="A303" s="294" t="s">
        <v>400</v>
      </c>
      <c r="B303" s="294" t="s">
        <v>401</v>
      </c>
      <c r="C303" s="294" t="s">
        <v>6</v>
      </c>
      <c r="D303" s="294" t="s">
        <v>332</v>
      </c>
      <c r="E303" s="359" t="n">
        <v>20715</v>
      </c>
      <c r="F303" s="294" t="s">
        <v>351</v>
      </c>
      <c r="H303" s="378" t="n">
        <v>38656</v>
      </c>
      <c r="K303" s="357" t="n">
        <v>0.1052</v>
      </c>
      <c r="L303" s="294" t="n">
        <v>0.0011</v>
      </c>
      <c r="M303" s="361" t="s">
        <v>373</v>
      </c>
      <c r="N303" s="360" t="n">
        <f aca="false">N278*$K303</f>
        <v>652240</v>
      </c>
      <c r="O303" s="360" t="n">
        <f aca="false">O278*$K303</f>
        <v>589120</v>
      </c>
      <c r="P303" s="360" t="n">
        <f aca="false">P278*$K303</f>
        <v>652240</v>
      </c>
      <c r="Q303" s="360" t="n">
        <f aca="false">Q278*$K303</f>
        <v>631200</v>
      </c>
      <c r="R303" s="360" t="n">
        <f aca="false">R278*$K303</f>
        <v>652240</v>
      </c>
      <c r="S303" s="360" t="n">
        <f aca="false">S278*$K303</f>
        <v>631200</v>
      </c>
      <c r="T303" s="360" t="n">
        <f aca="false">T278*$K303</f>
        <v>652240</v>
      </c>
      <c r="U303" s="360" t="n">
        <f aca="false">U278*$K303</f>
        <v>652240</v>
      </c>
      <c r="V303" s="360" t="n">
        <f aca="false">V278*$K303</f>
        <v>631200</v>
      </c>
      <c r="W303" s="360" t="n">
        <f aca="false">W278*$K303</f>
        <v>652240</v>
      </c>
      <c r="X303" s="360" t="n">
        <f aca="false">X278*($K303+0.0022)</f>
        <v>644400</v>
      </c>
      <c r="Y303" s="360" t="n">
        <f aca="false">Y278*($K303+0.0022)</f>
        <v>665880</v>
      </c>
    </row>
    <row r="304" customFormat="false" ht="12.75" hidden="false" customHeight="true" outlineLevel="0" collapsed="false">
      <c r="A304" s="294" t="s">
        <v>400</v>
      </c>
      <c r="B304" s="294" t="s">
        <v>401</v>
      </c>
      <c r="C304" s="294" t="s">
        <v>6</v>
      </c>
      <c r="D304" s="294" t="s">
        <v>332</v>
      </c>
      <c r="E304" s="359" t="n">
        <v>20834</v>
      </c>
      <c r="F304" s="294" t="s">
        <v>375</v>
      </c>
      <c r="H304" s="378" t="n">
        <v>39141</v>
      </c>
      <c r="K304" s="357" t="n">
        <v>0.1052</v>
      </c>
      <c r="L304" s="294" t="n">
        <v>0.0011</v>
      </c>
      <c r="M304" s="361" t="s">
        <v>373</v>
      </c>
      <c r="N304" s="360" t="n">
        <f aca="false">N279*$K304</f>
        <v>81530</v>
      </c>
      <c r="O304" s="360" t="n">
        <f aca="false">O279*$K304</f>
        <v>73640</v>
      </c>
      <c r="P304" s="360" t="n">
        <f aca="false">P279*$K304</f>
        <v>81530</v>
      </c>
      <c r="Q304" s="360" t="n">
        <f aca="false">Q279*$K304</f>
        <v>78900</v>
      </c>
      <c r="R304" s="360" t="n">
        <f aca="false">R279*$K304</f>
        <v>81530</v>
      </c>
      <c r="S304" s="360" t="n">
        <f aca="false">S279*$K304</f>
        <v>78900</v>
      </c>
      <c r="T304" s="360" t="n">
        <f aca="false">T279*$K304</f>
        <v>81530</v>
      </c>
      <c r="U304" s="360" t="n">
        <f aca="false">U279*$K304</f>
        <v>81530</v>
      </c>
      <c r="V304" s="360" t="n">
        <f aca="false">V279*$K304</f>
        <v>78900</v>
      </c>
      <c r="W304" s="360" t="n">
        <f aca="false">W279*$K304</f>
        <v>81530</v>
      </c>
      <c r="X304" s="360" t="n">
        <f aca="false">X279*($K304+0.0022)</f>
        <v>80550</v>
      </c>
      <c r="Y304" s="360" t="n">
        <f aca="false">Y279*($K304+0.0022)</f>
        <v>83235</v>
      </c>
    </row>
    <row r="305" customFormat="false" ht="12.75" hidden="false" customHeight="true" outlineLevel="0" collapsed="false">
      <c r="A305" s="294" t="s">
        <v>400</v>
      </c>
      <c r="B305" s="294" t="s">
        <v>401</v>
      </c>
      <c r="C305" s="294" t="s">
        <v>6</v>
      </c>
      <c r="D305" s="294" t="s">
        <v>332</v>
      </c>
      <c r="E305" s="359" t="n">
        <v>20835</v>
      </c>
      <c r="F305" s="294" t="s">
        <v>374</v>
      </c>
      <c r="H305" s="378" t="n">
        <v>37315</v>
      </c>
      <c r="K305" s="357" t="n">
        <v>0.1052</v>
      </c>
      <c r="L305" s="294" t="n">
        <v>0.0011</v>
      </c>
      <c r="M305" s="361" t="s">
        <v>373</v>
      </c>
      <c r="N305" s="360" t="n">
        <f aca="false">N280*$K305</f>
        <v>65224</v>
      </c>
      <c r="O305" s="360" t="n">
        <f aca="false">O280*$K305</f>
        <v>58912</v>
      </c>
      <c r="P305" s="360" t="n">
        <f aca="false">P280*$K305</f>
        <v>65224</v>
      </c>
      <c r="Q305" s="360" t="n">
        <f aca="false">Q280*$K305</f>
        <v>63120</v>
      </c>
      <c r="R305" s="360" t="n">
        <f aca="false">R280*$K305</f>
        <v>65224</v>
      </c>
      <c r="S305" s="360" t="n">
        <f aca="false">S280*$K305</f>
        <v>63120</v>
      </c>
      <c r="T305" s="360" t="n">
        <f aca="false">T280*$K305</f>
        <v>65224</v>
      </c>
      <c r="U305" s="360" t="n">
        <f aca="false">U280*$K305</f>
        <v>65224</v>
      </c>
      <c r="V305" s="360" t="n">
        <f aca="false">V280*$K305</f>
        <v>63120</v>
      </c>
      <c r="W305" s="360" t="n">
        <f aca="false">W280*$K305</f>
        <v>65224</v>
      </c>
      <c r="X305" s="360" t="n">
        <f aca="false">X280*($K305+0.0022)</f>
        <v>64440</v>
      </c>
      <c r="Y305" s="360" t="n">
        <f aca="false">Y280*($K305+0.0022)</f>
        <v>66588</v>
      </c>
    </row>
    <row r="306" customFormat="false" ht="12.75" hidden="false" customHeight="true" outlineLevel="0" collapsed="false">
      <c r="A306" s="294" t="s">
        <v>400</v>
      </c>
      <c r="B306" s="294" t="s">
        <v>401</v>
      </c>
      <c r="C306" s="294" t="s">
        <v>6</v>
      </c>
      <c r="D306" s="294" t="s">
        <v>332</v>
      </c>
      <c r="E306" s="359" t="n">
        <v>26677</v>
      </c>
      <c r="F306" s="294" t="s">
        <v>376</v>
      </c>
      <c r="H306" s="378" t="n">
        <v>39172</v>
      </c>
      <c r="K306" s="357" t="n">
        <v>0.1052</v>
      </c>
      <c r="L306" s="294" t="n">
        <v>0.0011</v>
      </c>
      <c r="M306" s="361" t="s">
        <v>402</v>
      </c>
      <c r="N306" s="360" t="n">
        <f aca="false">N281*$K306</f>
        <v>81530</v>
      </c>
      <c r="O306" s="360" t="n">
        <f aca="false">O281*$K306</f>
        <v>73640</v>
      </c>
      <c r="P306" s="360" t="n">
        <f aca="false">P281*$K306</f>
        <v>81530</v>
      </c>
      <c r="Q306" s="360" t="n">
        <f aca="false">Q281*$K306</f>
        <v>78900</v>
      </c>
      <c r="R306" s="360" t="n">
        <f aca="false">R281*$K306</f>
        <v>81530</v>
      </c>
      <c r="S306" s="360" t="n">
        <f aca="false">S281*$K306</f>
        <v>78900</v>
      </c>
      <c r="T306" s="360" t="n">
        <f aca="false">T281*$K306</f>
        <v>81530</v>
      </c>
      <c r="U306" s="360" t="n">
        <f aca="false">U281*$K306</f>
        <v>81530</v>
      </c>
      <c r="V306" s="360" t="n">
        <f aca="false">V281*$K306</f>
        <v>78900</v>
      </c>
      <c r="W306" s="360" t="n">
        <f aca="false">W281*$K306</f>
        <v>81530</v>
      </c>
      <c r="X306" s="360" t="n">
        <f aca="false">X281*($K306+0.0022)</f>
        <v>80550</v>
      </c>
      <c r="Y306" s="360" t="n">
        <f aca="false">Y281*($K306+0.0022)</f>
        <v>83235</v>
      </c>
    </row>
    <row r="307" customFormat="false" ht="12.75" hidden="false" customHeight="true" outlineLevel="0" collapsed="false">
      <c r="A307" s="294" t="s">
        <v>400</v>
      </c>
      <c r="B307" s="294" t="s">
        <v>401</v>
      </c>
      <c r="C307" s="294" t="s">
        <v>6</v>
      </c>
      <c r="D307" s="294" t="s">
        <v>332</v>
      </c>
      <c r="E307" s="359" t="n">
        <v>26371</v>
      </c>
      <c r="F307" s="294" t="s">
        <v>378</v>
      </c>
      <c r="H307" s="378" t="n">
        <v>39172</v>
      </c>
      <c r="K307" s="357" t="n">
        <v>0.1052</v>
      </c>
      <c r="L307" s="294" t="n">
        <v>0.0011</v>
      </c>
      <c r="M307" s="361" t="s">
        <v>402</v>
      </c>
      <c r="N307" s="360" t="n">
        <f aca="false">N282*$K307</f>
        <v>81530</v>
      </c>
      <c r="O307" s="360" t="n">
        <f aca="false">O282*$K307</f>
        <v>73640</v>
      </c>
      <c r="P307" s="360" t="n">
        <f aca="false">P282*$K307</f>
        <v>81530</v>
      </c>
      <c r="Q307" s="360" t="n">
        <f aca="false">Q282*$K307</f>
        <v>78900</v>
      </c>
      <c r="R307" s="360" t="n">
        <f aca="false">R282*$K307</f>
        <v>81530</v>
      </c>
      <c r="S307" s="360" t="n">
        <f aca="false">S282*$K307</f>
        <v>78900</v>
      </c>
      <c r="T307" s="360" t="n">
        <f aca="false">T282*$K307</f>
        <v>81530</v>
      </c>
      <c r="U307" s="360" t="n">
        <f aca="false">U282*$K307</f>
        <v>81530</v>
      </c>
      <c r="V307" s="360" t="n">
        <f aca="false">V282*$K307</f>
        <v>78900</v>
      </c>
      <c r="W307" s="360" t="n">
        <f aca="false">W282*$K307</f>
        <v>81530</v>
      </c>
      <c r="X307" s="360" t="n">
        <f aca="false">X282*($K307+0.0022)</f>
        <v>80550</v>
      </c>
      <c r="Y307" s="360" t="n">
        <f aca="false">Y282*($K307+0.0022)</f>
        <v>83235</v>
      </c>
    </row>
    <row r="308" customFormat="false" ht="12.75" hidden="false" customHeight="true" outlineLevel="0" collapsed="false">
      <c r="A308" s="294" t="s">
        <v>400</v>
      </c>
      <c r="B308" s="294" t="s">
        <v>401</v>
      </c>
      <c r="C308" s="294" t="s">
        <v>6</v>
      </c>
      <c r="D308" s="294" t="s">
        <v>332</v>
      </c>
      <c r="E308" s="359" t="n">
        <v>21175</v>
      </c>
      <c r="F308" s="294" t="s">
        <v>353</v>
      </c>
      <c r="H308" s="378" t="n">
        <v>39172</v>
      </c>
      <c r="K308" s="357" t="n">
        <v>0.1052</v>
      </c>
      <c r="L308" s="294" t="n">
        <v>0.0011</v>
      </c>
      <c r="M308" s="361" t="s">
        <v>402</v>
      </c>
      <c r="N308" s="360" t="n">
        <f aca="false">N283*$K308</f>
        <v>489180</v>
      </c>
      <c r="O308" s="360" t="n">
        <f aca="false">O283*$K308</f>
        <v>441840</v>
      </c>
      <c r="P308" s="360" t="n">
        <f aca="false">P283*$K308</f>
        <v>489180</v>
      </c>
      <c r="Q308" s="360" t="n">
        <f aca="false">Q283*$K308</f>
        <v>473400</v>
      </c>
      <c r="R308" s="360" t="n">
        <f aca="false">R283*$K308</f>
        <v>489180</v>
      </c>
      <c r="S308" s="360" t="n">
        <f aca="false">S283*$K308</f>
        <v>473400</v>
      </c>
      <c r="T308" s="360" t="n">
        <f aca="false">T283*$K308</f>
        <v>489180</v>
      </c>
      <c r="U308" s="360" t="n">
        <f aca="false">U283*$K308</f>
        <v>489180</v>
      </c>
      <c r="V308" s="360" t="n">
        <f aca="false">V283*$K308</f>
        <v>473400</v>
      </c>
      <c r="W308" s="360" t="n">
        <f aca="false">W283*$K308</f>
        <v>489180</v>
      </c>
      <c r="X308" s="360" t="n">
        <f aca="false">X283*($K308+0.0022)</f>
        <v>483300</v>
      </c>
      <c r="Y308" s="360" t="n">
        <f aca="false">Y283*($K308+0.0022)</f>
        <v>499410</v>
      </c>
    </row>
    <row r="309" customFormat="false" ht="12.75" hidden="false" customHeight="true" outlineLevel="0" collapsed="false">
      <c r="A309" s="294" t="s">
        <v>400</v>
      </c>
      <c r="B309" s="294" t="s">
        <v>401</v>
      </c>
      <c r="C309" s="294" t="s">
        <v>6</v>
      </c>
      <c r="D309" s="294" t="s">
        <v>332</v>
      </c>
      <c r="E309" s="359" t="n">
        <v>21375</v>
      </c>
      <c r="F309" s="294" t="s">
        <v>403</v>
      </c>
      <c r="H309" s="378" t="n">
        <v>39141</v>
      </c>
      <c r="K309" s="357" t="n">
        <v>0.1052</v>
      </c>
      <c r="L309" s="294" t="n">
        <v>0.0011</v>
      </c>
      <c r="M309" s="361" t="s">
        <v>373</v>
      </c>
      <c r="N309" s="360" t="n">
        <f aca="false">N284*$K309</f>
        <v>65224</v>
      </c>
      <c r="O309" s="360" t="n">
        <f aca="false">O284*$K309</f>
        <v>58912</v>
      </c>
      <c r="P309" s="360" t="n">
        <f aca="false">P284*$K309</f>
        <v>65224</v>
      </c>
      <c r="Q309" s="360" t="n">
        <f aca="false">Q284*$K309</f>
        <v>63120</v>
      </c>
      <c r="R309" s="360" t="n">
        <f aca="false">R284*$K309</f>
        <v>65224</v>
      </c>
      <c r="S309" s="360" t="n">
        <f aca="false">S284*$K309</f>
        <v>63120</v>
      </c>
      <c r="T309" s="360" t="n">
        <f aca="false">T284*$K309</f>
        <v>65224</v>
      </c>
      <c r="U309" s="360" t="n">
        <f aca="false">U284*$K309</f>
        <v>65224</v>
      </c>
      <c r="V309" s="360" t="n">
        <f aca="false">V284*$K309</f>
        <v>63120</v>
      </c>
      <c r="W309" s="360" t="n">
        <f aca="false">W284*$K309</f>
        <v>65224</v>
      </c>
      <c r="X309" s="360" t="n">
        <f aca="false">X284*($K309+0.0022)</f>
        <v>64440</v>
      </c>
      <c r="Y309" s="360" t="n">
        <f aca="false">Y284*($K309+0.0022)</f>
        <v>66588</v>
      </c>
    </row>
    <row r="311" customFormat="false" ht="12.75" hidden="false" customHeight="true" outlineLevel="0" collapsed="false">
      <c r="I311" s="368"/>
      <c r="N311" s="368"/>
      <c r="O311" s="368"/>
      <c r="P311" s="368"/>
      <c r="Q311" s="368"/>
      <c r="R311" s="368"/>
      <c r="S311" s="368"/>
      <c r="T311" s="368"/>
      <c r="U311" s="368"/>
      <c r="V311" s="368"/>
      <c r="W311" s="368"/>
      <c r="X311" s="368"/>
      <c r="Y311" s="368"/>
    </row>
    <row r="312" customFormat="false" ht="12.75" hidden="false" customHeight="true" outlineLevel="0" collapsed="false">
      <c r="I312" s="360" t="n">
        <f aca="false">SUM(I303:I311)</f>
        <v>0</v>
      </c>
      <c r="N312" s="360" t="n">
        <f aca="false">SUM(N303:N311)</f>
        <v>1516458</v>
      </c>
      <c r="O312" s="360" t="n">
        <f aca="false">SUM(O303:O311)</f>
        <v>1369704</v>
      </c>
      <c r="P312" s="360" t="n">
        <f aca="false">SUM(P303:P311)</f>
        <v>1516458</v>
      </c>
      <c r="Q312" s="360" t="n">
        <f aca="false">SUM(Q303:Q311)</f>
        <v>1467540</v>
      </c>
      <c r="R312" s="360" t="n">
        <f aca="false">SUM(R303:R311)</f>
        <v>1516458</v>
      </c>
      <c r="S312" s="360" t="n">
        <f aca="false">SUM(S303:S311)</f>
        <v>1467540</v>
      </c>
      <c r="T312" s="360" t="n">
        <f aca="false">SUM(T303:T311)</f>
        <v>1516458</v>
      </c>
      <c r="U312" s="360" t="n">
        <f aca="false">SUM(U303:U311)</f>
        <v>1516458</v>
      </c>
      <c r="V312" s="360" t="n">
        <f aca="false">SUM(V303:V311)</f>
        <v>1467540</v>
      </c>
      <c r="W312" s="360" t="n">
        <f aca="false">SUM(W303:W311)</f>
        <v>1516458</v>
      </c>
      <c r="X312" s="360" t="n">
        <f aca="false">SUM(X303:X311)</f>
        <v>1498230</v>
      </c>
      <c r="Y312" s="360" t="n">
        <f aca="false">SUM(Y303:Y311)</f>
        <v>1548171</v>
      </c>
      <c r="Z312" s="417" t="n">
        <f aca="false">SUM(N312:Y312)</f>
        <v>17917473</v>
      </c>
    </row>
    <row r="315" customFormat="false" ht="12.75" hidden="false" customHeight="true" outlineLevel="0" collapsed="false">
      <c r="A315" s="294" t="s">
        <v>400</v>
      </c>
      <c r="B315" s="294" t="s">
        <v>401</v>
      </c>
      <c r="C315" s="294" t="s">
        <v>6</v>
      </c>
      <c r="D315" s="294" t="s">
        <v>329</v>
      </c>
      <c r="E315" s="359" t="n">
        <v>20715</v>
      </c>
      <c r="F315" s="294" t="s">
        <v>351</v>
      </c>
      <c r="H315" s="378" t="n">
        <v>38656</v>
      </c>
      <c r="K315" s="357" t="n">
        <v>0.1052</v>
      </c>
      <c r="L315" s="294" t="n">
        <v>0.0011</v>
      </c>
      <c r="M315" s="361" t="s">
        <v>373</v>
      </c>
      <c r="N315" s="360" t="n">
        <f aca="false">N290*$L315</f>
        <v>6615.4</v>
      </c>
      <c r="O315" s="360" t="n">
        <f aca="false">O290*$L315</f>
        <v>6160</v>
      </c>
      <c r="P315" s="360" t="n">
        <f aca="false">P290*$L315</f>
        <v>6479</v>
      </c>
      <c r="Q315" s="360" t="n">
        <f aca="false">Q290*$L315</f>
        <v>6270</v>
      </c>
      <c r="R315" s="360" t="n">
        <f aca="false">R290*$L315</f>
        <v>6479</v>
      </c>
      <c r="S315" s="360" t="n">
        <f aca="false">S290*$L315</f>
        <v>6138</v>
      </c>
      <c r="T315" s="360" t="n">
        <f aca="false">T290*$L315</f>
        <v>6274.4</v>
      </c>
      <c r="U315" s="360" t="n">
        <f aca="false">U290*$L315</f>
        <v>6138</v>
      </c>
      <c r="V315" s="360" t="n">
        <f aca="false">V290*$L315</f>
        <v>6006</v>
      </c>
      <c r="W315" s="360" t="n">
        <f aca="false">W290*$L315</f>
        <v>6240.3</v>
      </c>
      <c r="X315" s="360" t="n">
        <f aca="false">X290*$L315</f>
        <v>6025.8</v>
      </c>
      <c r="Y315" s="360" t="n">
        <f aca="false">Y290*$L315</f>
        <v>6281.22</v>
      </c>
    </row>
    <row r="316" customFormat="false" ht="12.75" hidden="false" customHeight="true" outlineLevel="0" collapsed="false">
      <c r="B316" s="406" t="s">
        <v>364</v>
      </c>
      <c r="C316" s="406" t="s">
        <v>5</v>
      </c>
      <c r="D316" s="406" t="s">
        <v>329</v>
      </c>
      <c r="H316" s="378"/>
      <c r="K316" s="357" t="n">
        <v>0.1052</v>
      </c>
      <c r="L316" s="406" t="n">
        <v>0.0011</v>
      </c>
      <c r="R316" s="410" t="n">
        <f aca="false">R291*$L316</f>
        <v>0</v>
      </c>
    </row>
    <row r="317" customFormat="false" ht="12.75" hidden="false" customHeight="true" outlineLevel="0" collapsed="false">
      <c r="A317" s="294" t="s">
        <v>400</v>
      </c>
      <c r="B317" s="294" t="s">
        <v>401</v>
      </c>
      <c r="C317" s="294" t="s">
        <v>6</v>
      </c>
      <c r="D317" s="294" t="s">
        <v>329</v>
      </c>
      <c r="E317" s="359" t="n">
        <v>20834</v>
      </c>
      <c r="F317" s="294" t="s">
        <v>375</v>
      </c>
      <c r="H317" s="378" t="n">
        <v>39141</v>
      </c>
      <c r="K317" s="357" t="n">
        <v>0.1052</v>
      </c>
      <c r="L317" s="294" t="n">
        <v>0.0011</v>
      </c>
      <c r="M317" s="361" t="s">
        <v>373</v>
      </c>
      <c r="N317" s="360" t="n">
        <f aca="false">N292*$L317</f>
        <v>826.925</v>
      </c>
      <c r="O317" s="360" t="n">
        <f aca="false">O292*$L317</f>
        <v>770</v>
      </c>
      <c r="P317" s="360" t="n">
        <f aca="false">P292*$L317</f>
        <v>809.875</v>
      </c>
      <c r="Q317" s="360" t="n">
        <f aca="false">Q292*$L317</f>
        <v>783.75</v>
      </c>
      <c r="R317" s="360" t="n">
        <f aca="false">R292*$L317</f>
        <v>809.875</v>
      </c>
      <c r="S317" s="360" t="n">
        <f aca="false">S292*$L317</f>
        <v>767.25</v>
      </c>
      <c r="T317" s="360" t="n">
        <f aca="false">T292*$L317</f>
        <v>784.3</v>
      </c>
      <c r="U317" s="360" t="n">
        <f aca="false">U292*$L317</f>
        <v>767.25</v>
      </c>
      <c r="V317" s="360" t="n">
        <f aca="false">V292*$L317</f>
        <v>750.75</v>
      </c>
      <c r="W317" s="360" t="n">
        <f aca="false">W292*$L317</f>
        <v>780.0375</v>
      </c>
      <c r="X317" s="360" t="n">
        <f aca="false">X292*$L317</f>
        <v>753.225</v>
      </c>
      <c r="Y317" s="360" t="n">
        <f aca="false">Y292*$L317</f>
        <v>785.1525</v>
      </c>
    </row>
    <row r="318" customFormat="false" ht="12.75" hidden="false" customHeight="true" outlineLevel="0" collapsed="false">
      <c r="A318" s="294" t="s">
        <v>400</v>
      </c>
      <c r="B318" s="294" t="s">
        <v>401</v>
      </c>
      <c r="C318" s="294" t="s">
        <v>6</v>
      </c>
      <c r="D318" s="294" t="s">
        <v>329</v>
      </c>
      <c r="E318" s="359" t="n">
        <v>20835</v>
      </c>
      <c r="F318" s="294" t="s">
        <v>374</v>
      </c>
      <c r="H318" s="378" t="n">
        <v>37315</v>
      </c>
      <c r="K318" s="357" t="n">
        <v>0.1052</v>
      </c>
      <c r="L318" s="294" t="n">
        <v>0.0011</v>
      </c>
      <c r="M318" s="361" t="s">
        <v>373</v>
      </c>
      <c r="N318" s="360" t="n">
        <f aca="false">N293*$L318</f>
        <v>661.54</v>
      </c>
      <c r="O318" s="360" t="n">
        <f aca="false">O293*$L318</f>
        <v>616</v>
      </c>
      <c r="P318" s="360" t="n">
        <f aca="false">P293*$L318</f>
        <v>647.9</v>
      </c>
      <c r="Q318" s="360" t="n">
        <f aca="false">Q293*$L318</f>
        <v>627</v>
      </c>
      <c r="R318" s="360" t="n">
        <f aca="false">R293*$L318</f>
        <v>647.9</v>
      </c>
      <c r="S318" s="360" t="n">
        <f aca="false">S293*$L318</f>
        <v>613.8</v>
      </c>
      <c r="T318" s="360" t="n">
        <f aca="false">T293*$L318</f>
        <v>627.44</v>
      </c>
      <c r="U318" s="360" t="n">
        <f aca="false">U293*$L318</f>
        <v>613.8</v>
      </c>
      <c r="V318" s="360" t="n">
        <f aca="false">V293*$L318</f>
        <v>600.6</v>
      </c>
      <c r="W318" s="360" t="n">
        <f aca="false">W293*$L318</f>
        <v>624.03</v>
      </c>
      <c r="X318" s="360" t="n">
        <f aca="false">X293*$L318</f>
        <v>602.58</v>
      </c>
      <c r="Y318" s="360" t="n">
        <f aca="false">Y293*$L318</f>
        <v>628.122</v>
      </c>
    </row>
    <row r="319" customFormat="false" ht="12.75" hidden="false" customHeight="true" outlineLevel="0" collapsed="false">
      <c r="A319" s="294" t="s">
        <v>400</v>
      </c>
      <c r="B319" s="294" t="s">
        <v>401</v>
      </c>
      <c r="C319" s="294" t="s">
        <v>6</v>
      </c>
      <c r="D319" s="294" t="s">
        <v>329</v>
      </c>
      <c r="E319" s="359" t="n">
        <v>26677</v>
      </c>
      <c r="F319" s="294" t="s">
        <v>376</v>
      </c>
      <c r="H319" s="378" t="n">
        <v>39172</v>
      </c>
      <c r="K319" s="357" t="n">
        <v>0.1052</v>
      </c>
      <c r="L319" s="294" t="n">
        <v>0.0011</v>
      </c>
      <c r="M319" s="361" t="s">
        <v>402</v>
      </c>
      <c r="N319" s="360" t="n">
        <f aca="false">N294*$L319</f>
        <v>826.925</v>
      </c>
      <c r="O319" s="360" t="n">
        <f aca="false">O294*$L319</f>
        <v>770</v>
      </c>
      <c r="P319" s="360" t="n">
        <f aca="false">P294*$L319</f>
        <v>809.875</v>
      </c>
      <c r="Q319" s="360" t="n">
        <f aca="false">Q294*$L319</f>
        <v>783.75</v>
      </c>
      <c r="R319" s="360" t="n">
        <f aca="false">R294*$L319</f>
        <v>809.875</v>
      </c>
      <c r="S319" s="360" t="n">
        <f aca="false">S294*$L319</f>
        <v>767.25</v>
      </c>
      <c r="T319" s="360" t="n">
        <f aca="false">T294*$L319</f>
        <v>784.3</v>
      </c>
      <c r="U319" s="360" t="n">
        <f aca="false">U294*$L319</f>
        <v>767.25</v>
      </c>
      <c r="V319" s="360" t="n">
        <f aca="false">V294*$L319</f>
        <v>750.75</v>
      </c>
      <c r="W319" s="360" t="n">
        <f aca="false">W294*$L319</f>
        <v>780.0375</v>
      </c>
      <c r="X319" s="360" t="n">
        <f aca="false">X294*$L319</f>
        <v>753.225</v>
      </c>
      <c r="Y319" s="360" t="n">
        <f aca="false">Y294*$L319</f>
        <v>785.1525</v>
      </c>
    </row>
    <row r="320" customFormat="false" ht="12.75" hidden="false" customHeight="true" outlineLevel="0" collapsed="false">
      <c r="A320" s="294" t="s">
        <v>400</v>
      </c>
      <c r="B320" s="294" t="s">
        <v>401</v>
      </c>
      <c r="C320" s="294" t="s">
        <v>6</v>
      </c>
      <c r="D320" s="294" t="s">
        <v>329</v>
      </c>
      <c r="E320" s="359" t="n">
        <v>26371</v>
      </c>
      <c r="F320" s="294" t="s">
        <v>378</v>
      </c>
      <c r="H320" s="378" t="n">
        <v>39172</v>
      </c>
      <c r="K320" s="357" t="n">
        <v>0.1052</v>
      </c>
      <c r="L320" s="294" t="n">
        <v>0.0011</v>
      </c>
      <c r="M320" s="361" t="s">
        <v>402</v>
      </c>
      <c r="N320" s="360" t="n">
        <f aca="false">N295*$L320</f>
        <v>826.925</v>
      </c>
      <c r="O320" s="360" t="n">
        <f aca="false">O295*$L320</f>
        <v>770</v>
      </c>
      <c r="P320" s="360" t="n">
        <f aca="false">P295*$L320</f>
        <v>809.875</v>
      </c>
      <c r="Q320" s="360" t="n">
        <f aca="false">Q295*$L320</f>
        <v>783.75</v>
      </c>
      <c r="R320" s="360" t="n">
        <f aca="false">R295*$L320</f>
        <v>809.875</v>
      </c>
      <c r="S320" s="360" t="n">
        <f aca="false">S295*$L320</f>
        <v>767.25</v>
      </c>
      <c r="T320" s="360" t="n">
        <f aca="false">T295*$L320</f>
        <v>784.3</v>
      </c>
      <c r="U320" s="360" t="n">
        <f aca="false">U295*$L320</f>
        <v>767.25</v>
      </c>
      <c r="V320" s="360" t="n">
        <f aca="false">V295*$L320</f>
        <v>750.75</v>
      </c>
      <c r="W320" s="360" t="n">
        <f aca="false">W295*$L320</f>
        <v>780.0375</v>
      </c>
      <c r="X320" s="360" t="n">
        <f aca="false">X295*$L320</f>
        <v>753.225</v>
      </c>
      <c r="Y320" s="360" t="n">
        <f aca="false">Y295*$L320</f>
        <v>785.1525</v>
      </c>
    </row>
    <row r="321" customFormat="false" ht="12.75" hidden="false" customHeight="true" outlineLevel="0" collapsed="false">
      <c r="A321" s="294" t="s">
        <v>400</v>
      </c>
      <c r="B321" s="294" t="s">
        <v>401</v>
      </c>
      <c r="C321" s="294" t="s">
        <v>6</v>
      </c>
      <c r="D321" s="294" t="s">
        <v>329</v>
      </c>
      <c r="E321" s="359" t="n">
        <v>21175</v>
      </c>
      <c r="F321" s="294" t="s">
        <v>353</v>
      </c>
      <c r="H321" s="378" t="n">
        <v>39172</v>
      </c>
      <c r="K321" s="357" t="n">
        <v>0.1052</v>
      </c>
      <c r="L321" s="294" t="n">
        <v>0.0011</v>
      </c>
      <c r="M321" s="361" t="s">
        <v>402</v>
      </c>
      <c r="N321" s="360" t="n">
        <f aca="false">N296*$L321</f>
        <v>4961.55</v>
      </c>
      <c r="O321" s="360" t="n">
        <f aca="false">O296*$L321</f>
        <v>4620</v>
      </c>
      <c r="P321" s="360" t="n">
        <f aca="false">P296*$L321</f>
        <v>4859.25</v>
      </c>
      <c r="Q321" s="360" t="n">
        <f aca="false">Q296*$L321</f>
        <v>4702.5</v>
      </c>
      <c r="R321" s="360" t="n">
        <f aca="false">R296*$L321</f>
        <v>4859.25</v>
      </c>
      <c r="S321" s="360" t="n">
        <f aca="false">S296*$L321</f>
        <v>4603.5</v>
      </c>
      <c r="T321" s="360" t="n">
        <f aca="false">T296*$L321</f>
        <v>4705.8</v>
      </c>
      <c r="U321" s="360" t="n">
        <f aca="false">U296*$L321</f>
        <v>4603.5</v>
      </c>
      <c r="V321" s="360" t="n">
        <f aca="false">V296*$L321</f>
        <v>4504.5</v>
      </c>
      <c r="W321" s="360" t="n">
        <f aca="false">W296*$L321</f>
        <v>4680.225</v>
      </c>
      <c r="X321" s="360" t="n">
        <f aca="false">X296*$L321</f>
        <v>4519.35</v>
      </c>
      <c r="Y321" s="360" t="n">
        <f aca="false">Y296*$L321</f>
        <v>4710.915</v>
      </c>
    </row>
    <row r="322" customFormat="false" ht="12.75" hidden="false" customHeight="true" outlineLevel="0" collapsed="false">
      <c r="A322" s="294" t="s">
        <v>400</v>
      </c>
      <c r="B322" s="294" t="s">
        <v>401</v>
      </c>
      <c r="C322" s="294" t="s">
        <v>6</v>
      </c>
      <c r="D322" s="294" t="s">
        <v>329</v>
      </c>
      <c r="E322" s="359" t="n">
        <v>21375</v>
      </c>
      <c r="F322" s="294" t="s">
        <v>403</v>
      </c>
      <c r="H322" s="378" t="n">
        <v>39141</v>
      </c>
      <c r="K322" s="357" t="n">
        <v>0.1052</v>
      </c>
      <c r="L322" s="294" t="n">
        <v>0.0011</v>
      </c>
      <c r="M322" s="361" t="s">
        <v>373</v>
      </c>
      <c r="N322" s="360" t="n">
        <f aca="false">N297*$L322</f>
        <v>661.54</v>
      </c>
      <c r="O322" s="360" t="n">
        <f aca="false">O297*$L322</f>
        <v>616</v>
      </c>
      <c r="P322" s="360" t="n">
        <f aca="false">P297*$L322</f>
        <v>647.9</v>
      </c>
      <c r="Q322" s="360" t="n">
        <f aca="false">Q297*$L322</f>
        <v>627</v>
      </c>
      <c r="R322" s="360" t="n">
        <f aca="false">R297*$L322</f>
        <v>647.9</v>
      </c>
      <c r="S322" s="360" t="n">
        <f aca="false">S297*$L322</f>
        <v>613.8</v>
      </c>
      <c r="T322" s="360" t="n">
        <f aca="false">T297*$L322</f>
        <v>627.44</v>
      </c>
      <c r="U322" s="360" t="n">
        <f aca="false">U297*$L322</f>
        <v>613.8</v>
      </c>
      <c r="V322" s="360" t="n">
        <f aca="false">V297*$L322</f>
        <v>600.6</v>
      </c>
      <c r="W322" s="360" t="n">
        <f aca="false">W297*$L322</f>
        <v>624.03</v>
      </c>
      <c r="X322" s="360" t="n">
        <f aca="false">X297*$L322</f>
        <v>602.58</v>
      </c>
      <c r="Y322" s="360" t="n">
        <f aca="false">Y297*$L322</f>
        <v>628.122</v>
      </c>
    </row>
    <row r="324" customFormat="false" ht="12.75" hidden="false" customHeight="true" outlineLevel="0" collapsed="false">
      <c r="I324" s="368"/>
      <c r="N324" s="368"/>
      <c r="O324" s="368"/>
      <c r="P324" s="368"/>
      <c r="Q324" s="368"/>
      <c r="R324" s="368"/>
      <c r="S324" s="368"/>
      <c r="T324" s="368"/>
      <c r="U324" s="368"/>
      <c r="V324" s="368"/>
      <c r="W324" s="368"/>
      <c r="X324" s="368"/>
      <c r="Y324" s="368"/>
    </row>
    <row r="325" customFormat="false" ht="12.75" hidden="false" customHeight="true" outlineLevel="0" collapsed="false">
      <c r="I325" s="360" t="n">
        <f aca="false">SUM(I315:I324)</f>
        <v>0</v>
      </c>
      <c r="N325" s="360" t="n">
        <f aca="false">SUM(N315:N324)</f>
        <v>15380.805</v>
      </c>
      <c r="O325" s="360" t="n">
        <f aca="false">SUM(O315:O324)</f>
        <v>14322</v>
      </c>
      <c r="P325" s="360" t="n">
        <f aca="false">SUM(P315:P324)</f>
        <v>15063.675</v>
      </c>
      <c r="Q325" s="360" t="n">
        <f aca="false">SUM(Q315:Q324)</f>
        <v>14577.75</v>
      </c>
      <c r="R325" s="360" t="n">
        <f aca="false">SUM(R315:R324)</f>
        <v>15063.675</v>
      </c>
      <c r="S325" s="360" t="n">
        <f aca="false">SUM(S315:S324)</f>
        <v>14270.85</v>
      </c>
      <c r="T325" s="360" t="n">
        <f aca="false">SUM(T315:T324)</f>
        <v>14587.98</v>
      </c>
      <c r="U325" s="360" t="n">
        <f aca="false">SUM(U315:U324)</f>
        <v>14270.85</v>
      </c>
      <c r="V325" s="360" t="n">
        <f aca="false">SUM(V315:V324)</f>
        <v>13963.95</v>
      </c>
      <c r="W325" s="360" t="n">
        <f aca="false">SUM(W315:W324)</f>
        <v>14508.6975</v>
      </c>
      <c r="X325" s="360" t="n">
        <f aca="false">SUM(X315:X324)</f>
        <v>14009.985</v>
      </c>
      <c r="Y325" s="360" t="n">
        <f aca="false">SUM(Y315:Y324)</f>
        <v>14603.8365</v>
      </c>
      <c r="Z325" s="417" t="n">
        <f aca="false">SUM(N325:Y325)</f>
        <v>174624.054</v>
      </c>
      <c r="AE325" s="417" t="n">
        <f aca="false">Z325</f>
        <v>174624.054</v>
      </c>
    </row>
    <row r="326" customFormat="false" ht="12.75" hidden="false" customHeight="true" outlineLevel="0" collapsed="false">
      <c r="A326" s="422"/>
      <c r="B326" s="422"/>
      <c r="C326" s="422"/>
      <c r="D326" s="422"/>
      <c r="E326" s="423"/>
      <c r="F326" s="422"/>
      <c r="G326" s="422"/>
      <c r="H326" s="423"/>
      <c r="I326" s="424"/>
      <c r="J326" s="422"/>
      <c r="K326" s="425"/>
      <c r="L326" s="422"/>
      <c r="M326" s="426"/>
      <c r="N326" s="424"/>
      <c r="O326" s="424"/>
      <c r="P326" s="424"/>
      <c r="Q326" s="424"/>
      <c r="R326" s="424"/>
      <c r="S326" s="424"/>
      <c r="T326" s="424"/>
      <c r="U326" s="424"/>
      <c r="V326" s="424"/>
      <c r="W326" s="424"/>
      <c r="X326" s="424"/>
      <c r="Y326" s="424"/>
      <c r="Z326" s="422"/>
      <c r="AA326" s="422"/>
      <c r="AB326" s="422"/>
      <c r="AC326" s="422"/>
      <c r="AD326" s="422"/>
      <c r="AE326" s="422"/>
      <c r="AF326" s="422"/>
      <c r="AG326" s="422"/>
      <c r="AH326" s="422"/>
      <c r="AI326" s="422"/>
      <c r="AJ326" s="422"/>
      <c r="AK326" s="422"/>
      <c r="AL326" s="422"/>
      <c r="AM326" s="422"/>
      <c r="AN326" s="422"/>
      <c r="AO326" s="422"/>
      <c r="AP326" s="422"/>
      <c r="AQ326" s="422"/>
      <c r="AR326" s="422"/>
      <c r="AS326" s="422"/>
      <c r="AT326" s="422"/>
      <c r="AU326" s="422"/>
      <c r="AV326" s="422"/>
      <c r="AW326" s="422"/>
      <c r="AX326" s="422"/>
      <c r="AY326" s="422"/>
      <c r="AZ326" s="422"/>
      <c r="BA326" s="422"/>
      <c r="BB326" s="422"/>
      <c r="BC326" s="422"/>
      <c r="BD326" s="422"/>
      <c r="BE326" s="422"/>
      <c r="BF326" s="422"/>
      <c r="BG326" s="422"/>
      <c r="BH326" s="422"/>
      <c r="BI326" s="422"/>
      <c r="BJ326" s="422"/>
      <c r="BK326" s="422"/>
      <c r="BL326" s="422"/>
      <c r="BM326" s="422"/>
      <c r="BN326" s="422"/>
      <c r="BO326" s="422"/>
      <c r="BP326" s="422"/>
      <c r="BQ326" s="422"/>
      <c r="BR326" s="422"/>
      <c r="BS326" s="422"/>
      <c r="BT326" s="422"/>
      <c r="BU326" s="422"/>
      <c r="BV326" s="422"/>
      <c r="BW326" s="422"/>
      <c r="BX326" s="422"/>
      <c r="BY326" s="422"/>
      <c r="BZ326" s="422"/>
      <c r="CA326" s="422"/>
      <c r="CB326" s="422"/>
      <c r="CC326" s="422"/>
      <c r="CD326" s="422"/>
      <c r="CE326" s="422"/>
      <c r="CF326" s="422"/>
      <c r="CG326" s="422"/>
      <c r="CH326" s="422"/>
      <c r="CI326" s="422"/>
      <c r="CJ326" s="422"/>
      <c r="CK326" s="422"/>
      <c r="CL326" s="422"/>
      <c r="CM326" s="422"/>
      <c r="CN326" s="422"/>
      <c r="CO326" s="422"/>
      <c r="CP326" s="422"/>
      <c r="CQ326" s="422"/>
      <c r="CR326" s="422"/>
      <c r="CS326" s="422"/>
      <c r="CT326" s="422"/>
      <c r="CU326" s="422"/>
      <c r="CV326" s="422"/>
      <c r="CW326" s="422"/>
      <c r="CX326" s="422"/>
      <c r="CY326" s="422"/>
      <c r="CZ326" s="422"/>
      <c r="DA326" s="422"/>
      <c r="DB326" s="422"/>
      <c r="DC326" s="422"/>
      <c r="DD326" s="422"/>
      <c r="DE326" s="422"/>
      <c r="DF326" s="422"/>
      <c r="DG326" s="422"/>
      <c r="DH326" s="422"/>
      <c r="DI326" s="422"/>
      <c r="DJ326" s="422"/>
      <c r="DK326" s="422"/>
      <c r="DL326" s="422"/>
      <c r="DM326" s="422"/>
      <c r="DN326" s="422"/>
      <c r="DO326" s="422"/>
      <c r="DP326" s="422"/>
      <c r="DQ326" s="422"/>
      <c r="DR326" s="422"/>
      <c r="DS326" s="422"/>
      <c r="DT326" s="422"/>
      <c r="DU326" s="422"/>
      <c r="DV326" s="422"/>
      <c r="DW326" s="422"/>
      <c r="DX326" s="422"/>
      <c r="DY326" s="422"/>
      <c r="DZ326" s="422"/>
      <c r="EA326" s="422"/>
      <c r="EB326" s="422"/>
      <c r="EC326" s="422"/>
      <c r="ED326" s="422"/>
      <c r="EE326" s="422"/>
      <c r="EF326" s="422"/>
      <c r="EG326" s="422"/>
      <c r="EH326" s="422"/>
      <c r="EI326" s="422"/>
      <c r="EJ326" s="422"/>
      <c r="EK326" s="422"/>
      <c r="EL326" s="422"/>
      <c r="EM326" s="422"/>
      <c r="EN326" s="422"/>
      <c r="EO326" s="422"/>
      <c r="EP326" s="422"/>
      <c r="EQ326" s="422"/>
      <c r="ER326" s="422"/>
      <c r="ES326" s="422"/>
      <c r="ET326" s="422"/>
      <c r="EU326" s="422"/>
      <c r="EV326" s="422"/>
      <c r="EW326" s="422"/>
      <c r="EX326" s="422"/>
      <c r="EY326" s="422"/>
      <c r="EZ326" s="422"/>
      <c r="FA326" s="422"/>
      <c r="FB326" s="422"/>
      <c r="FC326" s="422"/>
      <c r="FD326" s="422"/>
      <c r="FE326" s="422"/>
      <c r="FF326" s="422"/>
      <c r="FG326" s="422"/>
      <c r="FH326" s="422"/>
      <c r="FI326" s="422"/>
      <c r="FJ326" s="422"/>
      <c r="FK326" s="422"/>
      <c r="FL326" s="422"/>
      <c r="FM326" s="422"/>
      <c r="FN326" s="422"/>
      <c r="FO326" s="422"/>
      <c r="FP326" s="422"/>
      <c r="FQ326" s="422"/>
      <c r="FR326" s="422"/>
      <c r="FS326" s="422"/>
      <c r="FT326" s="422"/>
      <c r="FU326" s="422"/>
      <c r="FV326" s="422"/>
      <c r="FW326" s="422"/>
      <c r="FX326" s="422"/>
      <c r="FY326" s="422"/>
      <c r="FZ326" s="422"/>
      <c r="GA326" s="422"/>
      <c r="GB326" s="422"/>
      <c r="GC326" s="422"/>
      <c r="GD326" s="422"/>
      <c r="GE326" s="422"/>
      <c r="GF326" s="422"/>
      <c r="GG326" s="422"/>
      <c r="GH326" s="422"/>
      <c r="GI326" s="422"/>
      <c r="GJ326" s="422"/>
      <c r="GK326" s="422"/>
      <c r="GL326" s="422"/>
      <c r="GM326" s="422"/>
      <c r="GN326" s="422"/>
      <c r="GO326" s="422"/>
      <c r="GP326" s="422"/>
      <c r="GQ326" s="422"/>
      <c r="GR326" s="422"/>
      <c r="GS326" s="422"/>
      <c r="GT326" s="422"/>
      <c r="GU326" s="422"/>
      <c r="GV326" s="422"/>
      <c r="GW326" s="422"/>
      <c r="GX326" s="422"/>
      <c r="GY326" s="422"/>
      <c r="GZ326" s="422"/>
      <c r="HA326" s="422"/>
      <c r="HB326" s="422"/>
      <c r="HC326" s="422"/>
      <c r="HD326" s="422"/>
      <c r="HE326" s="422"/>
      <c r="HF326" s="422"/>
      <c r="HG326" s="422"/>
      <c r="HH326" s="422"/>
      <c r="HI326" s="422"/>
      <c r="HJ326" s="422"/>
      <c r="HK326" s="422"/>
      <c r="HL326" s="422"/>
      <c r="HM326" s="422"/>
      <c r="HN326" s="422"/>
      <c r="HO326" s="422"/>
      <c r="HP326" s="422"/>
      <c r="HQ326" s="422"/>
      <c r="HR326" s="422"/>
      <c r="HS326" s="422"/>
      <c r="HT326" s="422"/>
      <c r="HU326" s="422"/>
      <c r="HV326" s="422"/>
      <c r="HW326" s="422"/>
      <c r="HX326" s="422"/>
      <c r="HY326" s="422"/>
      <c r="HZ326" s="422"/>
      <c r="IA326" s="422"/>
      <c r="IB326" s="422"/>
      <c r="IC326" s="422"/>
      <c r="ID326" s="422"/>
      <c r="IE326" s="422"/>
      <c r="IF326" s="422"/>
      <c r="IG326" s="422"/>
      <c r="IH326" s="422"/>
      <c r="II326" s="422"/>
      <c r="IJ326" s="422"/>
      <c r="IK326" s="422"/>
      <c r="IL326" s="422"/>
      <c r="IM326" s="422"/>
      <c r="IN326" s="422"/>
      <c r="IO326" s="422"/>
      <c r="IP326" s="422"/>
      <c r="IQ326" s="422"/>
      <c r="IR326" s="422"/>
      <c r="IS326" s="422"/>
      <c r="IT326" s="422"/>
      <c r="IU326" s="422"/>
      <c r="IV326" s="422"/>
      <c r="IW326" s="422"/>
    </row>
    <row r="329" customFormat="false" ht="12.75" hidden="false" customHeight="true" outlineLevel="0" collapsed="false">
      <c r="A329" s="294" t="s">
        <v>405</v>
      </c>
      <c r="B329" s="294" t="s">
        <v>406</v>
      </c>
      <c r="C329" s="294" t="s">
        <v>5</v>
      </c>
      <c r="D329" s="294" t="s">
        <v>332</v>
      </c>
      <c r="E329" s="440" t="n">
        <v>25067</v>
      </c>
      <c r="F329" s="440" t="s">
        <v>407</v>
      </c>
      <c r="H329" s="378" t="n">
        <v>37225</v>
      </c>
      <c r="I329" s="360" t="n">
        <v>15000</v>
      </c>
      <c r="M329" s="361" t="s">
        <v>346</v>
      </c>
      <c r="N329" s="360" t="n">
        <f aca="false">$I$329*N$1</f>
        <v>465000</v>
      </c>
      <c r="O329" s="360" t="n">
        <f aca="false">$I$329*O$1</f>
        <v>420000</v>
      </c>
      <c r="P329" s="360" t="n">
        <f aca="false">$I$329*P$1</f>
        <v>465000</v>
      </c>
      <c r="Q329" s="360" t="n">
        <f aca="false">$I$329*Q$1</f>
        <v>450000</v>
      </c>
      <c r="R329" s="360" t="n">
        <f aca="false">$I$329*R$1</f>
        <v>465000</v>
      </c>
      <c r="S329" s="360" t="n">
        <f aca="false">$I$329*S$1</f>
        <v>450000</v>
      </c>
      <c r="T329" s="360" t="n">
        <f aca="false">$I$329*T$1</f>
        <v>465000</v>
      </c>
      <c r="U329" s="360" t="n">
        <f aca="false">$I$329*U$1</f>
        <v>465000</v>
      </c>
      <c r="V329" s="360" t="n">
        <f aca="false">$I$329*V$1</f>
        <v>450000</v>
      </c>
      <c r="W329" s="360" t="n">
        <f aca="false">$I$329*W$1</f>
        <v>465000</v>
      </c>
      <c r="X329" s="360" t="n">
        <f aca="false">$I$329*X$1</f>
        <v>450000</v>
      </c>
      <c r="Y329" s="373" t="n">
        <f aca="false">$I$329*Y$1</f>
        <v>465000</v>
      </c>
    </row>
    <row r="330" customFormat="false" ht="12.75" hidden="false" customHeight="true" outlineLevel="0" collapsed="false">
      <c r="A330" s="294" t="s">
        <v>405</v>
      </c>
      <c r="B330" s="294" t="s">
        <v>406</v>
      </c>
      <c r="C330" s="294" t="s">
        <v>5</v>
      </c>
      <c r="D330" s="294" t="s">
        <v>332</v>
      </c>
      <c r="E330" s="440" t="n">
        <v>26436</v>
      </c>
      <c r="F330" s="440" t="s">
        <v>408</v>
      </c>
      <c r="H330" s="378" t="n">
        <v>37925</v>
      </c>
      <c r="I330" s="360" t="n">
        <v>59000</v>
      </c>
      <c r="M330" s="361" t="s">
        <v>346</v>
      </c>
      <c r="N330" s="360" t="n">
        <f aca="false">$I$330*N$1</f>
        <v>1829000</v>
      </c>
      <c r="O330" s="360" t="n">
        <f aca="false">$I$330*O$1</f>
        <v>1652000</v>
      </c>
      <c r="P330" s="360" t="n">
        <f aca="false">$I$330*P$1</f>
        <v>1829000</v>
      </c>
      <c r="Q330" s="360" t="n">
        <f aca="false">$I$330*Q$1</f>
        <v>1770000</v>
      </c>
      <c r="R330" s="360" t="n">
        <f aca="false">$I$330*R$1</f>
        <v>1829000</v>
      </c>
      <c r="S330" s="360" t="n">
        <f aca="false">$I$330*S$1</f>
        <v>1770000</v>
      </c>
      <c r="T330" s="360" t="n">
        <f aca="false">$I$330*T$1</f>
        <v>1829000</v>
      </c>
      <c r="U330" s="360" t="n">
        <f aca="false">$I$330*U$1</f>
        <v>1829000</v>
      </c>
      <c r="V330" s="360" t="n">
        <f aca="false">$I$330*V$1</f>
        <v>1770000</v>
      </c>
      <c r="W330" s="360" t="n">
        <f aca="false">$I$330*W$1</f>
        <v>1829000</v>
      </c>
      <c r="X330" s="360" t="n">
        <f aca="false">$I$330*X$1</f>
        <v>1770000</v>
      </c>
      <c r="Y330" s="360" t="n">
        <f aca="false">$I$330*Y$1</f>
        <v>1829000</v>
      </c>
    </row>
    <row r="331" customFormat="false" ht="12.75" hidden="false" customHeight="true" outlineLevel="0" collapsed="false">
      <c r="A331" s="294" t="s">
        <v>405</v>
      </c>
      <c r="B331" s="294" t="s">
        <v>406</v>
      </c>
      <c r="C331" s="294" t="s">
        <v>5</v>
      </c>
      <c r="D331" s="294" t="s">
        <v>332</v>
      </c>
      <c r="E331" s="440" t="n">
        <v>24924</v>
      </c>
      <c r="F331" s="440" t="s">
        <v>409</v>
      </c>
      <c r="H331" s="378" t="n">
        <v>38017</v>
      </c>
      <c r="I331" s="360" t="n">
        <v>25000</v>
      </c>
      <c r="M331" s="361" t="s">
        <v>346</v>
      </c>
      <c r="N331" s="360" t="n">
        <f aca="false">$I$331*N$1</f>
        <v>775000</v>
      </c>
      <c r="O331" s="360" t="n">
        <f aca="false">$I$331*O$1</f>
        <v>700000</v>
      </c>
      <c r="P331" s="360" t="n">
        <f aca="false">$I$331*P$1</f>
        <v>775000</v>
      </c>
      <c r="Q331" s="360" t="n">
        <f aca="false">$I$331*Q$1</f>
        <v>750000</v>
      </c>
      <c r="R331" s="360" t="n">
        <f aca="false">$I$331*R$1</f>
        <v>775000</v>
      </c>
      <c r="S331" s="360" t="n">
        <f aca="false">$I$331*S$1</f>
        <v>750000</v>
      </c>
      <c r="T331" s="360" t="n">
        <f aca="false">$I$331*T$1</f>
        <v>775000</v>
      </c>
      <c r="U331" s="360" t="n">
        <f aca="false">$I$331*U$1</f>
        <v>775000</v>
      </c>
      <c r="V331" s="360" t="n">
        <f aca="false">$I$331*V$1</f>
        <v>750000</v>
      </c>
      <c r="W331" s="360" t="n">
        <f aca="false">$I$331*W$1</f>
        <v>775000</v>
      </c>
      <c r="X331" s="360" t="n">
        <f aca="false">$I$331*X$1</f>
        <v>750000</v>
      </c>
      <c r="Y331" s="360" t="n">
        <f aca="false">$I$331*Y$1</f>
        <v>775000</v>
      </c>
    </row>
    <row r="332" customFormat="false" ht="12.75" hidden="false" customHeight="true" outlineLevel="0" collapsed="false">
      <c r="A332" s="294" t="s">
        <v>405</v>
      </c>
      <c r="B332" s="294" t="s">
        <v>406</v>
      </c>
      <c r="C332" s="294" t="s">
        <v>5</v>
      </c>
      <c r="D332" s="294" t="s">
        <v>332</v>
      </c>
      <c r="E332" s="440" t="n">
        <v>26044</v>
      </c>
      <c r="F332" s="440" t="s">
        <v>410</v>
      </c>
      <c r="G332" s="441"/>
      <c r="H332" s="442" t="n">
        <v>37925</v>
      </c>
      <c r="I332" s="360" t="n">
        <v>85000</v>
      </c>
      <c r="M332" s="361" t="s">
        <v>346</v>
      </c>
      <c r="N332" s="360" t="n">
        <f aca="false">$I$332*N$1</f>
        <v>2635000</v>
      </c>
      <c r="O332" s="360" t="n">
        <f aca="false">$I$332*O$1</f>
        <v>2380000</v>
      </c>
      <c r="P332" s="360" t="n">
        <f aca="false">$I$332*P$1</f>
        <v>2635000</v>
      </c>
      <c r="Q332" s="360" t="n">
        <f aca="false">$I$332*Q$1</f>
        <v>2550000</v>
      </c>
      <c r="R332" s="360" t="n">
        <f aca="false">$I$332*R$1</f>
        <v>2635000</v>
      </c>
      <c r="S332" s="360" t="n">
        <f aca="false">$I$332*S$1</f>
        <v>2550000</v>
      </c>
      <c r="T332" s="360" t="n">
        <f aca="false">$I$332*T$1</f>
        <v>2635000</v>
      </c>
      <c r="U332" s="360" t="n">
        <f aca="false">$I$332*U$1</f>
        <v>2635000</v>
      </c>
      <c r="V332" s="360" t="n">
        <f aca="false">$I$332*V$1</f>
        <v>2550000</v>
      </c>
      <c r="W332" s="360" t="n">
        <f aca="false">$I$332*W$1</f>
        <v>2635000</v>
      </c>
      <c r="X332" s="360" t="n">
        <f aca="false">$I$332*X$1</f>
        <v>2550000</v>
      </c>
      <c r="Y332" s="360" t="n">
        <f aca="false">$I$332*Y$1</f>
        <v>2635000</v>
      </c>
    </row>
    <row r="333" customFormat="false" ht="12.75" hidden="false" customHeight="true" outlineLevel="0" collapsed="false">
      <c r="A333" s="294" t="s">
        <v>405</v>
      </c>
      <c r="B333" s="294" t="s">
        <v>406</v>
      </c>
      <c r="C333" s="294" t="s">
        <v>5</v>
      </c>
      <c r="D333" s="294" t="s">
        <v>332</v>
      </c>
      <c r="E333" s="443" t="n">
        <v>24925</v>
      </c>
      <c r="F333" s="443" t="s">
        <v>411</v>
      </c>
      <c r="G333" s="107"/>
      <c r="H333" s="444" t="n">
        <v>38017</v>
      </c>
      <c r="I333" s="360" t="n">
        <v>50000</v>
      </c>
      <c r="M333" s="361" t="s">
        <v>346</v>
      </c>
      <c r="N333" s="360" t="n">
        <f aca="false">$I$333*N$1</f>
        <v>1550000</v>
      </c>
      <c r="O333" s="360" t="n">
        <f aca="false">$I$333*O$1</f>
        <v>1400000</v>
      </c>
      <c r="P333" s="360" t="n">
        <f aca="false">$I$333*P$1</f>
        <v>1550000</v>
      </c>
      <c r="Q333" s="360" t="n">
        <f aca="false">$I$333*Q$1</f>
        <v>1500000</v>
      </c>
      <c r="R333" s="360" t="n">
        <f aca="false">$I$333*R$1</f>
        <v>1550000</v>
      </c>
      <c r="S333" s="360" t="n">
        <f aca="false">$I$333*S$1</f>
        <v>1500000</v>
      </c>
      <c r="T333" s="360" t="n">
        <f aca="false">$I$333*T$1</f>
        <v>1550000</v>
      </c>
      <c r="U333" s="360" t="n">
        <f aca="false">$I$333*U$1</f>
        <v>1550000</v>
      </c>
      <c r="V333" s="360" t="n">
        <f aca="false">$I$333*V$1</f>
        <v>1500000</v>
      </c>
      <c r="W333" s="360" t="n">
        <f aca="false">$I$333*W$1</f>
        <v>1550000</v>
      </c>
      <c r="X333" s="360" t="n">
        <f aca="false">$I$333*X$1</f>
        <v>1500000</v>
      </c>
      <c r="Y333" s="360" t="n">
        <f aca="false">$I$333*Y$1</f>
        <v>1550000</v>
      </c>
    </row>
    <row r="334" customFormat="false" ht="12.75" hidden="false" customHeight="true" outlineLevel="0" collapsed="false">
      <c r="A334" s="294" t="s">
        <v>405</v>
      </c>
      <c r="B334" s="294" t="s">
        <v>406</v>
      </c>
      <c r="C334" s="294" t="s">
        <v>5</v>
      </c>
      <c r="D334" s="294" t="s">
        <v>332</v>
      </c>
      <c r="E334" s="440" t="n">
        <v>25397</v>
      </c>
      <c r="F334" s="440" t="s">
        <v>412</v>
      </c>
      <c r="G334" s="440"/>
      <c r="H334" s="442" t="n">
        <v>37711</v>
      </c>
      <c r="I334" s="360" t="n">
        <v>10000</v>
      </c>
      <c r="K334" s="374"/>
      <c r="L334" s="359"/>
      <c r="M334" s="361" t="s">
        <v>346</v>
      </c>
      <c r="N334" s="360" t="n">
        <f aca="false">$I$334*N$1</f>
        <v>310000</v>
      </c>
      <c r="O334" s="360" t="n">
        <f aca="false">$I$334*O$1</f>
        <v>280000</v>
      </c>
      <c r="P334" s="360" t="n">
        <f aca="false">$I$334*P$1</f>
        <v>310000</v>
      </c>
      <c r="Q334" s="360" t="n">
        <f aca="false">$I$334*Q$1</f>
        <v>300000</v>
      </c>
      <c r="R334" s="360" t="n">
        <f aca="false">$I$334*R$1</f>
        <v>310000</v>
      </c>
      <c r="S334" s="360" t="n">
        <f aca="false">$I$334*S$1</f>
        <v>300000</v>
      </c>
      <c r="T334" s="360" t="n">
        <f aca="false">$I$334*T$1</f>
        <v>310000</v>
      </c>
      <c r="U334" s="360" t="n">
        <f aca="false">$I$334*U$1</f>
        <v>310000</v>
      </c>
      <c r="V334" s="360" t="n">
        <f aca="false">$I$334*V$1</f>
        <v>300000</v>
      </c>
      <c r="W334" s="360" t="n">
        <f aca="false">$I$334*W$1</f>
        <v>310000</v>
      </c>
      <c r="X334" s="360" t="n">
        <f aca="false">$I$334*X$1</f>
        <v>300000</v>
      </c>
      <c r="Y334" s="360" t="n">
        <f aca="false">$I$334*Y$1</f>
        <v>310000</v>
      </c>
    </row>
    <row r="335" customFormat="false" ht="12.75" hidden="false" customHeight="true" outlineLevel="0" collapsed="false">
      <c r="A335" s="383" t="s">
        <v>405</v>
      </c>
      <c r="B335" s="383" t="s">
        <v>406</v>
      </c>
      <c r="C335" s="383" t="s">
        <v>5</v>
      </c>
      <c r="D335" s="383" t="s">
        <v>332</v>
      </c>
      <c r="E335" s="445" t="n">
        <v>27342</v>
      </c>
      <c r="F335" s="380" t="s">
        <v>347</v>
      </c>
      <c r="G335" s="387" t="n">
        <v>36892</v>
      </c>
      <c r="H335" s="376" t="n">
        <v>37256</v>
      </c>
      <c r="I335" s="381" t="n">
        <v>30000</v>
      </c>
      <c r="J335" s="383"/>
      <c r="K335" s="385"/>
      <c r="L335" s="383"/>
      <c r="M335" s="386" t="s">
        <v>346</v>
      </c>
      <c r="N335" s="310" t="n">
        <f aca="false">$I$335*N$1</f>
        <v>930000</v>
      </c>
      <c r="O335" s="310" t="n">
        <f aca="false">$I$335*O$1</f>
        <v>840000</v>
      </c>
      <c r="P335" s="310" t="n">
        <f aca="false">$I$335*P$1</f>
        <v>930000</v>
      </c>
      <c r="Q335" s="310" t="n">
        <f aca="false">$I$335*Q$1</f>
        <v>900000</v>
      </c>
      <c r="R335" s="310" t="n">
        <f aca="false">$I$335*R$1</f>
        <v>930000</v>
      </c>
      <c r="S335" s="310" t="n">
        <f aca="false">$I$335*S$1</f>
        <v>900000</v>
      </c>
      <c r="T335" s="310" t="n">
        <f aca="false">$I$335*T$1</f>
        <v>930000</v>
      </c>
      <c r="U335" s="310" t="n">
        <f aca="false">$I$335*U$1</f>
        <v>930000</v>
      </c>
      <c r="V335" s="310" t="n">
        <f aca="false">$I$335*V$1</f>
        <v>900000</v>
      </c>
      <c r="W335" s="310" t="n">
        <f aca="false">$I$335*W$1</f>
        <v>930000</v>
      </c>
      <c r="X335" s="310" t="n">
        <f aca="false">$I$335*X$1</f>
        <v>900000</v>
      </c>
      <c r="Y335" s="310" t="n">
        <f aca="false">$I$335*Y$1</f>
        <v>930000</v>
      </c>
    </row>
    <row r="336" customFormat="false" ht="12.75" hidden="false" customHeight="true" outlineLevel="0" collapsed="false">
      <c r="A336" s="370" t="s">
        <v>405</v>
      </c>
      <c r="B336" s="370" t="s">
        <v>406</v>
      </c>
      <c r="C336" s="370" t="s">
        <v>5</v>
      </c>
      <c r="D336" s="370" t="s">
        <v>332</v>
      </c>
      <c r="E336" s="446" t="n">
        <v>26661</v>
      </c>
      <c r="F336" s="370" t="s">
        <v>357</v>
      </c>
      <c r="G336" s="370" t="s">
        <v>413</v>
      </c>
      <c r="H336" s="372"/>
      <c r="I336" s="373" t="n">
        <v>18000</v>
      </c>
      <c r="M336" s="382" t="s">
        <v>346</v>
      </c>
      <c r="N336" s="373" t="n">
        <v>0</v>
      </c>
      <c r="O336" s="373" t="n">
        <v>0</v>
      </c>
      <c r="P336" s="373" t="n">
        <v>0</v>
      </c>
      <c r="Q336" s="373" t="n">
        <v>0</v>
      </c>
      <c r="R336" s="373" t="n">
        <v>0</v>
      </c>
      <c r="S336" s="373" t="n">
        <v>0</v>
      </c>
      <c r="T336" s="373" t="n">
        <v>0</v>
      </c>
      <c r="U336" s="373" t="n">
        <v>0</v>
      </c>
      <c r="V336" s="373" t="n">
        <v>0</v>
      </c>
      <c r="W336" s="373" t="n">
        <v>0</v>
      </c>
      <c r="X336" s="373" t="n">
        <v>0</v>
      </c>
      <c r="Y336" s="373" t="n">
        <v>0</v>
      </c>
    </row>
    <row r="337" customFormat="false" ht="12.75" hidden="false" customHeight="true" outlineLevel="0" collapsed="false">
      <c r="A337" s="370" t="s">
        <v>405</v>
      </c>
      <c r="B337" s="370" t="s">
        <v>406</v>
      </c>
      <c r="C337" s="370" t="s">
        <v>5</v>
      </c>
      <c r="D337" s="370" t="s">
        <v>332</v>
      </c>
      <c r="E337" s="446" t="n">
        <v>27651</v>
      </c>
      <c r="F337" s="370" t="s">
        <v>407</v>
      </c>
      <c r="G337" s="371" t="n">
        <v>37073</v>
      </c>
      <c r="H337" s="372" t="n">
        <v>37164</v>
      </c>
      <c r="I337" s="373" t="n">
        <v>33000</v>
      </c>
      <c r="M337" s="382" t="s">
        <v>346</v>
      </c>
      <c r="N337" s="447"/>
      <c r="O337" s="447"/>
      <c r="P337" s="447"/>
      <c r="Q337" s="447"/>
      <c r="R337" s="447"/>
      <c r="S337" s="447"/>
      <c r="T337" s="395" t="n">
        <f aca="false">$I$337*T$1</f>
        <v>1023000</v>
      </c>
      <c r="U337" s="395" t="n">
        <f aca="false">$I$337*U$1</f>
        <v>1023000</v>
      </c>
      <c r="V337" s="395" t="n">
        <f aca="false">15000*V$1</f>
        <v>450000</v>
      </c>
      <c r="W337" s="395" t="n">
        <v>0</v>
      </c>
      <c r="X337" s="395" t="n">
        <v>0</v>
      </c>
      <c r="Y337" s="395" t="n">
        <v>0</v>
      </c>
    </row>
    <row r="338" customFormat="false" ht="12.75" hidden="false" customHeight="true" outlineLevel="0" collapsed="false">
      <c r="I338" s="360" t="n">
        <f aca="false">SUM(I329:I337)</f>
        <v>325000</v>
      </c>
      <c r="N338" s="360" t="n">
        <f aca="false">SUM(N329:N336)</f>
        <v>8494000</v>
      </c>
      <c r="O338" s="360" t="n">
        <f aca="false">SUM(O329:O336)</f>
        <v>7672000</v>
      </c>
      <c r="P338" s="360" t="n">
        <f aca="false">SUM(P329:P336)</f>
        <v>8494000</v>
      </c>
      <c r="Q338" s="360" t="n">
        <f aca="false">SUM(Q329:Q336)</f>
        <v>8220000</v>
      </c>
      <c r="R338" s="360" t="n">
        <f aca="false">SUM(R329:R336)</f>
        <v>8494000</v>
      </c>
      <c r="S338" s="360" t="n">
        <f aca="false">SUM(S329:S336)</f>
        <v>8220000</v>
      </c>
      <c r="T338" s="360" t="n">
        <f aca="false">SUM(T329:T337)</f>
        <v>9517000</v>
      </c>
      <c r="U338" s="360" t="n">
        <f aca="false">SUM(U329:U337)</f>
        <v>9517000</v>
      </c>
      <c r="V338" s="360" t="n">
        <f aca="false">SUM(V329:V337)</f>
        <v>8670000</v>
      </c>
      <c r="W338" s="360" t="n">
        <f aca="false">SUM(W329:W337)</f>
        <v>8494000</v>
      </c>
      <c r="X338" s="360" t="n">
        <f aca="false">SUM(X329:X337)</f>
        <v>8220000</v>
      </c>
      <c r="Y338" s="360" t="n">
        <f aca="false">SUM(Y329:Y337)</f>
        <v>8494000</v>
      </c>
    </row>
    <row r="340" customFormat="false" ht="12.75" hidden="false" customHeight="true" outlineLevel="0" collapsed="false">
      <c r="A340" s="397" t="s">
        <v>414</v>
      </c>
      <c r="B340" s="398"/>
      <c r="C340" s="398"/>
      <c r="D340" s="398"/>
      <c r="E340" s="399"/>
      <c r="F340" s="398"/>
      <c r="G340" s="398"/>
      <c r="H340" s="399"/>
      <c r="I340" s="400"/>
      <c r="J340" s="398"/>
      <c r="K340" s="401"/>
      <c r="L340" s="398"/>
      <c r="M340" s="402"/>
      <c r="N340" s="403" t="n">
        <v>0.746</v>
      </c>
      <c r="O340" s="403" t="n">
        <v>0.663</v>
      </c>
      <c r="P340" s="403" t="n">
        <v>0.665</v>
      </c>
      <c r="Q340" s="403" t="n">
        <v>0.78</v>
      </c>
      <c r="R340" s="403" t="n">
        <v>0.793</v>
      </c>
      <c r="S340" s="403" t="n">
        <v>0.72</v>
      </c>
      <c r="T340" s="403" t="n">
        <v>0.92</v>
      </c>
      <c r="U340" s="403" t="n">
        <v>0.756</v>
      </c>
      <c r="V340" s="403" t="n">
        <v>0.846</v>
      </c>
      <c r="W340" s="403" t="n">
        <v>0.836</v>
      </c>
      <c r="X340" s="403" t="n">
        <v>0.817</v>
      </c>
      <c r="Y340" s="405" t="n">
        <v>0.663</v>
      </c>
    </row>
    <row r="341" customFormat="false" ht="12.75" hidden="false" customHeight="true" outlineLevel="0" collapsed="false">
      <c r="A341" s="294" t="s">
        <v>405</v>
      </c>
      <c r="B341" s="294" t="s">
        <v>406</v>
      </c>
      <c r="C341" s="294" t="s">
        <v>5</v>
      </c>
      <c r="D341" s="294" t="s">
        <v>329</v>
      </c>
      <c r="E341" s="440" t="n">
        <v>25067</v>
      </c>
      <c r="F341" s="440" t="s">
        <v>407</v>
      </c>
      <c r="H341" s="378" t="n">
        <v>37225</v>
      </c>
      <c r="I341" s="360" t="n">
        <v>15000</v>
      </c>
      <c r="M341" s="361" t="s">
        <v>346</v>
      </c>
      <c r="N341" s="360" t="n">
        <f aca="false">N329*N$340</f>
        <v>346890</v>
      </c>
      <c r="O341" s="360" t="n">
        <f aca="false">O329*O$340</f>
        <v>278460</v>
      </c>
      <c r="P341" s="360" t="n">
        <f aca="false">P329*P$340</f>
        <v>309225</v>
      </c>
      <c r="Q341" s="360" t="n">
        <f aca="false">Q329*Q$340</f>
        <v>351000</v>
      </c>
      <c r="R341" s="360" t="n">
        <f aca="false">R329*R$340</f>
        <v>368745</v>
      </c>
      <c r="S341" s="360" t="n">
        <f aca="false">S329*S$340</f>
        <v>324000</v>
      </c>
      <c r="T341" s="360" t="n">
        <f aca="false">T329*T$340</f>
        <v>427800</v>
      </c>
      <c r="U341" s="360" t="n">
        <f aca="false">U329*U$340</f>
        <v>351540</v>
      </c>
      <c r="V341" s="360" t="n">
        <f aca="false">V329*V$340</f>
        <v>380700</v>
      </c>
      <c r="W341" s="360" t="n">
        <f aca="false">W329*W$340</f>
        <v>388740</v>
      </c>
      <c r="X341" s="360" t="n">
        <f aca="false">X329*X$340</f>
        <v>367650</v>
      </c>
      <c r="Y341" s="373" t="n">
        <f aca="false">Y329*Y$340</f>
        <v>308295</v>
      </c>
    </row>
    <row r="342" customFormat="false" ht="12.75" hidden="false" customHeight="true" outlineLevel="0" collapsed="false">
      <c r="A342" s="294" t="s">
        <v>405</v>
      </c>
      <c r="B342" s="294" t="s">
        <v>406</v>
      </c>
      <c r="C342" s="294" t="s">
        <v>5</v>
      </c>
      <c r="D342" s="294" t="s">
        <v>329</v>
      </c>
      <c r="E342" s="440" t="n">
        <v>26436</v>
      </c>
      <c r="F342" s="440" t="s">
        <v>408</v>
      </c>
      <c r="H342" s="378" t="n">
        <v>37925</v>
      </c>
      <c r="I342" s="360" t="n">
        <v>59000</v>
      </c>
      <c r="M342" s="361" t="s">
        <v>346</v>
      </c>
      <c r="N342" s="360" t="n">
        <f aca="false">N330*N$340</f>
        <v>1364434</v>
      </c>
      <c r="O342" s="360" t="n">
        <f aca="false">O330*O$340</f>
        <v>1095276</v>
      </c>
      <c r="P342" s="360" t="n">
        <f aca="false">P330*P$340</f>
        <v>1216285</v>
      </c>
      <c r="Q342" s="360" t="n">
        <f aca="false">Q330*Q$340</f>
        <v>1380600</v>
      </c>
      <c r="R342" s="360" t="n">
        <f aca="false">R330*R$340</f>
        <v>1450397</v>
      </c>
      <c r="S342" s="360" t="n">
        <f aca="false">S330*S$340</f>
        <v>1274400</v>
      </c>
      <c r="T342" s="360" t="n">
        <f aca="false">T330*T$340</f>
        <v>1682680</v>
      </c>
      <c r="U342" s="360" t="n">
        <f aca="false">U330*U$340</f>
        <v>1382724</v>
      </c>
      <c r="V342" s="360" t="n">
        <f aca="false">V330*V$340</f>
        <v>1497420</v>
      </c>
      <c r="W342" s="360" t="n">
        <f aca="false">W330*W$340</f>
        <v>1529044</v>
      </c>
      <c r="X342" s="360" t="n">
        <f aca="false">X330*X$340</f>
        <v>1446090</v>
      </c>
      <c r="Y342" s="360" t="n">
        <f aca="false">Y330*Y$340</f>
        <v>1212627</v>
      </c>
    </row>
    <row r="343" customFormat="false" ht="12.75" hidden="false" customHeight="true" outlineLevel="0" collapsed="false">
      <c r="A343" s="294" t="s">
        <v>405</v>
      </c>
      <c r="B343" s="294" t="s">
        <v>406</v>
      </c>
      <c r="C343" s="294" t="s">
        <v>5</v>
      </c>
      <c r="D343" s="294" t="s">
        <v>329</v>
      </c>
      <c r="E343" s="440" t="n">
        <v>24924</v>
      </c>
      <c r="F343" s="440" t="s">
        <v>409</v>
      </c>
      <c r="H343" s="378" t="n">
        <v>38017</v>
      </c>
      <c r="I343" s="360" t="n">
        <v>25000</v>
      </c>
      <c r="M343" s="361" t="s">
        <v>346</v>
      </c>
      <c r="N343" s="360" t="n">
        <f aca="false">N331*N$340</f>
        <v>578150</v>
      </c>
      <c r="O343" s="360" t="n">
        <f aca="false">O331*O$340</f>
        <v>464100</v>
      </c>
      <c r="P343" s="360" t="n">
        <f aca="false">P331*P$340</f>
        <v>515375</v>
      </c>
      <c r="Q343" s="360" t="n">
        <f aca="false">Q331*Q$340</f>
        <v>585000</v>
      </c>
      <c r="R343" s="360" t="n">
        <f aca="false">R331*R$340</f>
        <v>614575</v>
      </c>
      <c r="S343" s="360" t="n">
        <f aca="false">S331*S$340</f>
        <v>540000</v>
      </c>
      <c r="T343" s="360" t="n">
        <f aca="false">T331*T$340</f>
        <v>713000</v>
      </c>
      <c r="U343" s="360" t="n">
        <f aca="false">U331*U$340</f>
        <v>585900</v>
      </c>
      <c r="V343" s="360" t="n">
        <f aca="false">V331*V$340</f>
        <v>634500</v>
      </c>
      <c r="W343" s="360" t="n">
        <f aca="false">W331*W$340</f>
        <v>647900</v>
      </c>
      <c r="X343" s="360" t="n">
        <f aca="false">X331*X$340</f>
        <v>612750</v>
      </c>
      <c r="Y343" s="360" t="n">
        <f aca="false">Y331*Y$340</f>
        <v>513825</v>
      </c>
    </row>
    <row r="344" customFormat="false" ht="12.75" hidden="false" customHeight="true" outlineLevel="0" collapsed="false">
      <c r="A344" s="294" t="s">
        <v>405</v>
      </c>
      <c r="B344" s="294" t="s">
        <v>406</v>
      </c>
      <c r="C344" s="294" t="s">
        <v>5</v>
      </c>
      <c r="D344" s="294" t="s">
        <v>329</v>
      </c>
      <c r="E344" s="440" t="n">
        <v>26044</v>
      </c>
      <c r="F344" s="440" t="s">
        <v>410</v>
      </c>
      <c r="G344" s="441"/>
      <c r="H344" s="442" t="n">
        <v>37925</v>
      </c>
      <c r="I344" s="360" t="n">
        <v>85000</v>
      </c>
      <c r="M344" s="361" t="s">
        <v>346</v>
      </c>
      <c r="N344" s="360" t="n">
        <f aca="false">N332*N$340</f>
        <v>1965710</v>
      </c>
      <c r="O344" s="360" t="n">
        <f aca="false">O332*O$340</f>
        <v>1577940</v>
      </c>
      <c r="P344" s="360" t="n">
        <f aca="false">P332*P$340</f>
        <v>1752275</v>
      </c>
      <c r="Q344" s="360" t="n">
        <f aca="false">Q332*Q$340</f>
        <v>1989000</v>
      </c>
      <c r="R344" s="360" t="n">
        <f aca="false">R332*R$340</f>
        <v>2089555</v>
      </c>
      <c r="S344" s="360" t="n">
        <f aca="false">S332*S$340</f>
        <v>1836000</v>
      </c>
      <c r="T344" s="360" t="n">
        <f aca="false">T332*T$340</f>
        <v>2424200</v>
      </c>
      <c r="U344" s="360" t="n">
        <f aca="false">U332*U$340</f>
        <v>1992060</v>
      </c>
      <c r="V344" s="360" t="n">
        <f aca="false">V332*V$340</f>
        <v>2157300</v>
      </c>
      <c r="W344" s="360" t="n">
        <f aca="false">W332*W$340</f>
        <v>2202860</v>
      </c>
      <c r="X344" s="360" t="n">
        <f aca="false">X332*X$340</f>
        <v>2083350</v>
      </c>
      <c r="Y344" s="360" t="n">
        <f aca="false">Y332*Y$340</f>
        <v>1747005</v>
      </c>
    </row>
    <row r="345" customFormat="false" ht="12.75" hidden="false" customHeight="true" outlineLevel="0" collapsed="false">
      <c r="A345" s="294" t="s">
        <v>405</v>
      </c>
      <c r="B345" s="294" t="s">
        <v>406</v>
      </c>
      <c r="C345" s="294" t="s">
        <v>5</v>
      </c>
      <c r="D345" s="294" t="s">
        <v>329</v>
      </c>
      <c r="E345" s="443" t="n">
        <v>24925</v>
      </c>
      <c r="F345" s="443" t="s">
        <v>411</v>
      </c>
      <c r="G345" s="107"/>
      <c r="H345" s="444" t="n">
        <v>38017</v>
      </c>
      <c r="I345" s="360" t="n">
        <v>50000</v>
      </c>
      <c r="M345" s="361" t="s">
        <v>346</v>
      </c>
      <c r="N345" s="360" t="n">
        <f aca="false">N333*N$340</f>
        <v>1156300</v>
      </c>
      <c r="O345" s="360" t="n">
        <f aca="false">O333*O$340</f>
        <v>928200</v>
      </c>
      <c r="P345" s="360" t="n">
        <f aca="false">P333*P$340</f>
        <v>1030750</v>
      </c>
      <c r="Q345" s="360" t="n">
        <f aca="false">Q333*Q$340</f>
        <v>1170000</v>
      </c>
      <c r="R345" s="360" t="n">
        <f aca="false">R333*R$340</f>
        <v>1229150</v>
      </c>
      <c r="S345" s="360" t="n">
        <f aca="false">S333*S$340</f>
        <v>1080000</v>
      </c>
      <c r="T345" s="360" t="n">
        <f aca="false">T333*T$340</f>
        <v>1426000</v>
      </c>
      <c r="U345" s="360" t="n">
        <f aca="false">U333*U$340</f>
        <v>1171800</v>
      </c>
      <c r="V345" s="360" t="n">
        <f aca="false">V333*V$340</f>
        <v>1269000</v>
      </c>
      <c r="W345" s="360" t="n">
        <f aca="false">W333*W$340</f>
        <v>1295800</v>
      </c>
      <c r="X345" s="360" t="n">
        <f aca="false">X333*X$340</f>
        <v>1225500</v>
      </c>
      <c r="Y345" s="360" t="n">
        <f aca="false">Y333*Y$340</f>
        <v>1027650</v>
      </c>
    </row>
    <row r="346" customFormat="false" ht="12.75" hidden="false" customHeight="true" outlineLevel="0" collapsed="false">
      <c r="A346" s="294" t="s">
        <v>405</v>
      </c>
      <c r="B346" s="294" t="s">
        <v>406</v>
      </c>
      <c r="C346" s="294" t="s">
        <v>5</v>
      </c>
      <c r="D346" s="294" t="s">
        <v>329</v>
      </c>
      <c r="E346" s="440" t="n">
        <v>25397</v>
      </c>
      <c r="F346" s="440" t="s">
        <v>412</v>
      </c>
      <c r="G346" s="440"/>
      <c r="H346" s="442" t="n">
        <v>37711</v>
      </c>
      <c r="I346" s="360" t="n">
        <v>10000</v>
      </c>
      <c r="K346" s="374"/>
      <c r="L346" s="359"/>
      <c r="M346" s="361" t="s">
        <v>346</v>
      </c>
      <c r="N346" s="360" t="n">
        <f aca="false">N334*N$340</f>
        <v>231260</v>
      </c>
      <c r="O346" s="360" t="n">
        <f aca="false">O334*O$340</f>
        <v>185640</v>
      </c>
      <c r="P346" s="360" t="n">
        <f aca="false">P334*P$340</f>
        <v>206150</v>
      </c>
      <c r="Q346" s="360" t="n">
        <f aca="false">Q334*Q$340</f>
        <v>234000</v>
      </c>
      <c r="R346" s="360" t="n">
        <f aca="false">R334*R$340</f>
        <v>245830</v>
      </c>
      <c r="S346" s="360" t="n">
        <f aca="false">S334*S$340</f>
        <v>216000</v>
      </c>
      <c r="T346" s="360" t="n">
        <f aca="false">T334*T$340</f>
        <v>285200</v>
      </c>
      <c r="U346" s="360" t="n">
        <f aca="false">U334*U$340</f>
        <v>234360</v>
      </c>
      <c r="V346" s="360" t="n">
        <f aca="false">V334*V$340</f>
        <v>253800</v>
      </c>
      <c r="W346" s="360" t="n">
        <f aca="false">W334*W$340</f>
        <v>259160</v>
      </c>
      <c r="X346" s="360" t="n">
        <f aca="false">X334*X$340</f>
        <v>245100</v>
      </c>
      <c r="Y346" s="360" t="n">
        <f aca="false">Y334*Y$340</f>
        <v>205530</v>
      </c>
    </row>
    <row r="347" customFormat="false" ht="12.75" hidden="false" customHeight="true" outlineLevel="0" collapsed="false">
      <c r="A347" s="383" t="s">
        <v>405</v>
      </c>
      <c r="B347" s="383" t="s">
        <v>406</v>
      </c>
      <c r="C347" s="383" t="s">
        <v>5</v>
      </c>
      <c r="D347" s="383" t="s">
        <v>329</v>
      </c>
      <c r="E347" s="445" t="n">
        <v>27342</v>
      </c>
      <c r="F347" s="380" t="s">
        <v>347</v>
      </c>
      <c r="G347" s="387" t="n">
        <v>36892</v>
      </c>
      <c r="H347" s="376" t="n">
        <v>37256</v>
      </c>
      <c r="I347" s="381" t="n">
        <v>30000</v>
      </c>
      <c r="J347" s="383"/>
      <c r="K347" s="385"/>
      <c r="L347" s="383"/>
      <c r="M347" s="386" t="s">
        <v>346</v>
      </c>
      <c r="N347" s="310" t="n">
        <f aca="false">N335*N$340</f>
        <v>693780</v>
      </c>
      <c r="O347" s="310" t="n">
        <f aca="false">O335*O$340</f>
        <v>556920</v>
      </c>
      <c r="P347" s="310" t="n">
        <f aca="false">P335*P$340</f>
        <v>618450</v>
      </c>
      <c r="Q347" s="310" t="n">
        <f aca="false">Q335*Q$340</f>
        <v>702000</v>
      </c>
      <c r="R347" s="310" t="n">
        <f aca="false">R335*R$340</f>
        <v>737490</v>
      </c>
      <c r="S347" s="310" t="n">
        <f aca="false">S335*S$340</f>
        <v>648000</v>
      </c>
      <c r="T347" s="310" t="n">
        <f aca="false">T335*T$340</f>
        <v>855600</v>
      </c>
      <c r="U347" s="310" t="n">
        <f aca="false">U335*U$340</f>
        <v>703080</v>
      </c>
      <c r="V347" s="310" t="n">
        <f aca="false">V335*V$340</f>
        <v>761400</v>
      </c>
      <c r="W347" s="310" t="n">
        <f aca="false">W335*W$340</f>
        <v>777480</v>
      </c>
      <c r="X347" s="310" t="n">
        <f aca="false">X335*X$340</f>
        <v>735300</v>
      </c>
      <c r="Y347" s="310" t="n">
        <f aca="false">Y335*Y$340</f>
        <v>616590</v>
      </c>
    </row>
    <row r="348" customFormat="false" ht="12.75" hidden="false" customHeight="true" outlineLevel="0" collapsed="false">
      <c r="A348" s="370" t="s">
        <v>405</v>
      </c>
      <c r="B348" s="370" t="s">
        <v>406</v>
      </c>
      <c r="C348" s="370" t="s">
        <v>5</v>
      </c>
      <c r="D348" s="370" t="s">
        <v>329</v>
      </c>
      <c r="E348" s="446" t="n">
        <v>26661</v>
      </c>
      <c r="F348" s="370" t="s">
        <v>357</v>
      </c>
      <c r="G348" s="370" t="s">
        <v>413</v>
      </c>
      <c r="H348" s="372"/>
      <c r="I348" s="373" t="n">
        <v>18000</v>
      </c>
      <c r="M348" s="382" t="s">
        <v>346</v>
      </c>
      <c r="N348" s="373" t="n">
        <f aca="false">N336*N$340</f>
        <v>0</v>
      </c>
      <c r="O348" s="373" t="n">
        <f aca="false">O336*O$340</f>
        <v>0</v>
      </c>
      <c r="P348" s="373" t="n">
        <f aca="false">P336*P$340</f>
        <v>0</v>
      </c>
      <c r="Q348" s="373" t="n">
        <f aca="false">Q336*Q$340</f>
        <v>0</v>
      </c>
      <c r="R348" s="373" t="n">
        <f aca="false">R336*R$340</f>
        <v>0</v>
      </c>
      <c r="S348" s="373" t="n">
        <f aca="false">S336*S$340</f>
        <v>0</v>
      </c>
      <c r="T348" s="373" t="n">
        <f aca="false">T336*T$340</f>
        <v>0</v>
      </c>
      <c r="U348" s="373" t="n">
        <f aca="false">U336*U$340</f>
        <v>0</v>
      </c>
      <c r="V348" s="373" t="n">
        <f aca="false">V336*V$340</f>
        <v>0</v>
      </c>
      <c r="W348" s="373" t="n">
        <f aca="false">W336*W$340</f>
        <v>0</v>
      </c>
      <c r="X348" s="373" t="n">
        <f aca="false">X336*X$340</f>
        <v>0</v>
      </c>
      <c r="Y348" s="373" t="n">
        <f aca="false">Y336*Y$340</f>
        <v>0</v>
      </c>
      <c r="Z348" s="333"/>
      <c r="AA348" s="333"/>
      <c r="AB348" s="333"/>
      <c r="AC348" s="333"/>
      <c r="AD348" s="333"/>
      <c r="AE348" s="333"/>
      <c r="AF348" s="333"/>
      <c r="AG348" s="333"/>
      <c r="AH348" s="333"/>
      <c r="AI348" s="333"/>
      <c r="AJ348" s="333"/>
      <c r="AK348" s="333"/>
      <c r="AL348" s="333"/>
      <c r="AM348" s="333"/>
      <c r="AN348" s="333"/>
      <c r="AO348" s="333"/>
      <c r="AP348" s="333"/>
      <c r="AQ348" s="333"/>
      <c r="AR348" s="333"/>
      <c r="AS348" s="333"/>
      <c r="AT348" s="333"/>
      <c r="AU348" s="333"/>
      <c r="AV348" s="333"/>
      <c r="AW348" s="333"/>
      <c r="AX348" s="333"/>
      <c r="AY348" s="333"/>
      <c r="AZ348" s="333"/>
      <c r="BA348" s="333"/>
      <c r="BB348" s="333"/>
      <c r="BC348" s="333"/>
      <c r="BD348" s="333"/>
      <c r="BE348" s="333"/>
      <c r="BF348" s="333"/>
      <c r="BG348" s="333"/>
      <c r="BH348" s="333"/>
      <c r="BI348" s="333"/>
      <c r="BJ348" s="333"/>
      <c r="BK348" s="333"/>
      <c r="BL348" s="333"/>
      <c r="BM348" s="333"/>
      <c r="BN348" s="333"/>
      <c r="BO348" s="333"/>
      <c r="BP348" s="333"/>
      <c r="BQ348" s="333"/>
      <c r="BR348" s="333"/>
      <c r="BS348" s="333"/>
      <c r="BT348" s="333"/>
      <c r="BU348" s="333"/>
    </row>
    <row r="349" customFormat="false" ht="12.75" hidden="false" customHeight="true" outlineLevel="0" collapsed="false">
      <c r="A349" s="370" t="s">
        <v>405</v>
      </c>
      <c r="B349" s="370" t="s">
        <v>406</v>
      </c>
      <c r="C349" s="370" t="s">
        <v>5</v>
      </c>
      <c r="D349" s="370" t="s">
        <v>329</v>
      </c>
      <c r="E349" s="446" t="n">
        <v>27651</v>
      </c>
      <c r="F349" s="370" t="s">
        <v>407</v>
      </c>
      <c r="G349" s="371" t="n">
        <v>37073</v>
      </c>
      <c r="H349" s="372" t="n">
        <v>37164</v>
      </c>
      <c r="I349" s="373" t="n">
        <v>33000</v>
      </c>
      <c r="M349" s="382"/>
      <c r="N349" s="447"/>
      <c r="O349" s="447"/>
      <c r="P349" s="447"/>
      <c r="Q349" s="447"/>
      <c r="R349" s="447"/>
      <c r="S349" s="447"/>
      <c r="T349" s="395" t="n">
        <f aca="false">T337*T$340</f>
        <v>941160</v>
      </c>
      <c r="U349" s="395" t="n">
        <f aca="false">U337*U$340</f>
        <v>773388</v>
      </c>
      <c r="V349" s="395" t="n">
        <f aca="false">V337*V$340</f>
        <v>380700</v>
      </c>
      <c r="W349" s="395" t="n">
        <f aca="false">W337*W$340</f>
        <v>0</v>
      </c>
      <c r="X349" s="395" t="n">
        <f aca="false">X337*X$340</f>
        <v>0</v>
      </c>
      <c r="Y349" s="395" t="n">
        <f aca="false">Y337*Y$340</f>
        <v>0</v>
      </c>
    </row>
    <row r="350" customFormat="false" ht="12.75" hidden="false" customHeight="true" outlineLevel="0" collapsed="false">
      <c r="I350" s="360" t="n">
        <f aca="false">SUM(I341:I348)</f>
        <v>292000</v>
      </c>
      <c r="N350" s="360" t="n">
        <f aca="false">SUM(N341:N348)</f>
        <v>6336524</v>
      </c>
      <c r="O350" s="360" t="n">
        <f aca="false">SUM(O341:O348)</f>
        <v>5086536</v>
      </c>
      <c r="P350" s="360" t="n">
        <f aca="false">SUM(P341:P348)</f>
        <v>5648510</v>
      </c>
      <c r="Q350" s="360" t="n">
        <f aca="false">SUM(Q341:Q348)</f>
        <v>6411600</v>
      </c>
      <c r="R350" s="360" t="n">
        <f aca="false">SUM(R341:R348)</f>
        <v>6735742</v>
      </c>
      <c r="S350" s="360" t="n">
        <f aca="false">SUM(S341:S348)</f>
        <v>5918400</v>
      </c>
      <c r="T350" s="360" t="n">
        <f aca="false">SUM(T341:T349)</f>
        <v>8755640</v>
      </c>
      <c r="U350" s="360" t="n">
        <f aca="false">SUM(U341:U349)</f>
        <v>7194852</v>
      </c>
      <c r="V350" s="360" t="n">
        <f aca="false">SUM(V341:V349)</f>
        <v>7334820</v>
      </c>
      <c r="W350" s="360" t="n">
        <f aca="false">SUM(W341:W349)</f>
        <v>7100984</v>
      </c>
      <c r="X350" s="360" t="n">
        <f aca="false">SUM(X341:X349)</f>
        <v>6715740</v>
      </c>
      <c r="Y350" s="360" t="n">
        <f aca="false">SUM(Y341:Y349)</f>
        <v>5631522</v>
      </c>
    </row>
    <row r="353" customFormat="false" ht="12.75" hidden="false" customHeight="true" outlineLevel="0" collapsed="false">
      <c r="A353" s="294" t="s">
        <v>405</v>
      </c>
      <c r="B353" s="294" t="s">
        <v>406</v>
      </c>
      <c r="C353" s="294" t="s">
        <v>6</v>
      </c>
      <c r="D353" s="294" t="s">
        <v>332</v>
      </c>
      <c r="E353" s="440" t="n">
        <v>25067</v>
      </c>
      <c r="F353" s="440" t="s">
        <v>407</v>
      </c>
      <c r="H353" s="378" t="n">
        <v>37225</v>
      </c>
      <c r="K353" s="357" t="n">
        <v>0.0439</v>
      </c>
      <c r="L353" s="294" t="n">
        <v>0.0011</v>
      </c>
      <c r="M353" s="361" t="s">
        <v>346</v>
      </c>
      <c r="N353" s="360" t="n">
        <f aca="false">N329*($K353+$L353)-N365</f>
        <v>20543.421</v>
      </c>
      <c r="O353" s="360" t="n">
        <f aca="false">O329*($K353+$L353)-O365</f>
        <v>18593.694</v>
      </c>
      <c r="P353" s="360" t="n">
        <f aca="false">P329*($K353+$L353)-P365</f>
        <v>20584.8525</v>
      </c>
      <c r="Q353" s="360" t="n">
        <f aca="false">Q329*($K353+$L353)-Q365</f>
        <v>19863.9</v>
      </c>
      <c r="R353" s="360" t="n">
        <f aca="false">R329*($K353+$L353)-R365</f>
        <v>20519.3805</v>
      </c>
      <c r="S353" s="360" t="n">
        <f aca="false">S329*($K353+$L353)-S365</f>
        <v>19893.6</v>
      </c>
      <c r="T353" s="360" t="n">
        <f aca="false">T329*($K353+$L353)-T365</f>
        <v>20454.42</v>
      </c>
      <c r="U353" s="360" t="n">
        <f aca="false">U329*($K353+$L353)-U365</f>
        <v>20538.306</v>
      </c>
      <c r="V353" s="360" t="n">
        <f aca="false">V329*($K353+$L353)-V365</f>
        <v>19831.23</v>
      </c>
      <c r="W353" s="360" t="n">
        <f aca="false">W329*($K353+$L353)-W365</f>
        <v>20497.386</v>
      </c>
      <c r="X353" s="360" t="n">
        <f aca="false">X329*($K353+$L353)-X365</f>
        <v>19845.585</v>
      </c>
      <c r="Y353" s="373" t="n">
        <f aca="false">Y329*($K353+$L353)-Y365</f>
        <v>20585.8755</v>
      </c>
      <c r="AC353" s="417" t="n">
        <f aca="false">Y353-2325</f>
        <v>18260.8755</v>
      </c>
    </row>
    <row r="354" customFormat="false" ht="12.75" hidden="false" customHeight="true" outlineLevel="0" collapsed="false">
      <c r="A354" s="294" t="s">
        <v>405</v>
      </c>
      <c r="B354" s="294" t="s">
        <v>406</v>
      </c>
      <c r="C354" s="294" t="s">
        <v>6</v>
      </c>
      <c r="D354" s="294" t="s">
        <v>332</v>
      </c>
      <c r="E354" s="440" t="n">
        <v>26436</v>
      </c>
      <c r="F354" s="440" t="s">
        <v>408</v>
      </c>
      <c r="H354" s="378" t="n">
        <v>37925</v>
      </c>
      <c r="K354" s="357" t="n">
        <v>0.0489</v>
      </c>
      <c r="L354" s="294" t="n">
        <v>0.0011</v>
      </c>
      <c r="M354" s="361" t="s">
        <v>346</v>
      </c>
      <c r="N354" s="360" t="n">
        <f aca="false">N330*($K354+$L354)-N366</f>
        <v>89949.1226</v>
      </c>
      <c r="O354" s="360" t="n">
        <f aca="false">O330*($K354+$L354)-O366</f>
        <v>81395.1964</v>
      </c>
      <c r="P354" s="360" t="n">
        <f aca="false">P330*($K354+$L354)-P366</f>
        <v>90112.0865</v>
      </c>
      <c r="Q354" s="360" t="n">
        <f aca="false">Q330*($K354+$L354)-Q366</f>
        <v>86981.34</v>
      </c>
      <c r="R354" s="360" t="n">
        <f aca="false">R330*($K354+$L354)-R366</f>
        <v>89854.5633</v>
      </c>
      <c r="S354" s="360" t="n">
        <f aca="false">S330*($K354+$L354)-S366</f>
        <v>87098.16</v>
      </c>
      <c r="T354" s="360" t="n">
        <f aca="false">T330*($K354+$L354)-T366</f>
        <v>89599.052</v>
      </c>
      <c r="U354" s="360" t="n">
        <f aca="false">U330*($K354+$L354)-U366</f>
        <v>89929.0036</v>
      </c>
      <c r="V354" s="360" t="n">
        <f aca="false">V330*($K354+$L354)-V366</f>
        <v>86852.838</v>
      </c>
      <c r="W354" s="360" t="n">
        <f aca="false">W330*($K354+$L354)-W366</f>
        <v>89768.0516</v>
      </c>
      <c r="X354" s="360" t="n">
        <f aca="false">X330*(0.0589+$L354)-X366</f>
        <v>104609.301</v>
      </c>
      <c r="Y354" s="360" t="n">
        <f aca="false">Y330*(0.0589+$L354)-Y366</f>
        <v>108406.1103</v>
      </c>
    </row>
    <row r="355" customFormat="false" ht="12.75" hidden="false" customHeight="true" outlineLevel="0" collapsed="false">
      <c r="A355" s="294" t="s">
        <v>405</v>
      </c>
      <c r="B355" s="294" t="s">
        <v>406</v>
      </c>
      <c r="C355" s="294" t="s">
        <v>6</v>
      </c>
      <c r="D355" s="294" t="s">
        <v>332</v>
      </c>
      <c r="E355" s="440" t="n">
        <v>24924</v>
      </c>
      <c r="F355" s="440" t="s">
        <v>409</v>
      </c>
      <c r="H355" s="378" t="n">
        <v>38017</v>
      </c>
      <c r="K355" s="357" t="n">
        <v>0.0567</v>
      </c>
      <c r="L355" s="294" t="n">
        <v>0.0033</v>
      </c>
      <c r="M355" s="361" t="s">
        <v>346</v>
      </c>
      <c r="N355" s="360" t="n">
        <f aca="false">N331*($K355+$L355)-N367</f>
        <v>44592.105</v>
      </c>
      <c r="O355" s="360" t="n">
        <f aca="false">O331*($K355+$L355)-O367</f>
        <v>40468.47</v>
      </c>
      <c r="P355" s="360" t="n">
        <f aca="false">P331*($K355+$L355)-P367</f>
        <v>44799.2625</v>
      </c>
      <c r="Q355" s="360" t="n">
        <f aca="false">Q331*($K355+$L355)-Q367</f>
        <v>43069.5</v>
      </c>
      <c r="R355" s="360" t="n">
        <f aca="false">R331*($K355+$L355)-R367</f>
        <v>44471.9025</v>
      </c>
      <c r="S355" s="360" t="n">
        <f aca="false">S331*($K355+$L355)-S367</f>
        <v>43218</v>
      </c>
      <c r="T355" s="360" t="n">
        <f aca="false">T331*($K355+$L355)-T367</f>
        <v>44147.1</v>
      </c>
      <c r="U355" s="360" t="n">
        <f aca="false">U331*($K355+$L355)-U367</f>
        <v>44566.53</v>
      </c>
      <c r="V355" s="360" t="n">
        <f aca="false">V331*($K355+$L355)-V367</f>
        <v>42906.15</v>
      </c>
      <c r="W355" s="360" t="n">
        <f aca="false">W331*($K355+$L355)-W367</f>
        <v>44361.93</v>
      </c>
      <c r="X355" s="360" t="n">
        <f aca="false">X331*($K355+$L355)-X367</f>
        <v>42977.925</v>
      </c>
      <c r="Y355" s="360" t="n">
        <f aca="false">Y331*($K355+$L355)-Y367</f>
        <v>44804.3775</v>
      </c>
    </row>
    <row r="356" customFormat="false" ht="12.75" hidden="false" customHeight="true" outlineLevel="0" collapsed="false">
      <c r="A356" s="294" t="s">
        <v>405</v>
      </c>
      <c r="B356" s="294" t="s">
        <v>406</v>
      </c>
      <c r="C356" s="294" t="s">
        <v>6</v>
      </c>
      <c r="D356" s="294" t="s">
        <v>332</v>
      </c>
      <c r="E356" s="440" t="n">
        <v>26044</v>
      </c>
      <c r="F356" s="440" t="s">
        <v>410</v>
      </c>
      <c r="G356" s="441"/>
      <c r="H356" s="442" t="n">
        <v>37925</v>
      </c>
      <c r="K356" s="357" t="n">
        <v>0.0289</v>
      </c>
      <c r="L356" s="294" t="n">
        <v>0.0011</v>
      </c>
      <c r="M356" s="361" t="s">
        <v>346</v>
      </c>
      <c r="N356" s="360" t="n">
        <f aca="false">N332*($K356+$L356)-N368</f>
        <v>76887.719</v>
      </c>
      <c r="O356" s="360" t="n">
        <f aca="false">O332*($K356+$L356)-O368</f>
        <v>69664.266</v>
      </c>
      <c r="P356" s="360" t="n">
        <f aca="false">P332*($K356+$L356)-P368</f>
        <v>77122.4975</v>
      </c>
      <c r="Q356" s="360" t="n">
        <f aca="false">Q332*($K356+$L356)-Q368</f>
        <v>74312.1</v>
      </c>
      <c r="R356" s="360" t="n">
        <f aca="false">R332*($K356+$L356)-R368</f>
        <v>76751.4895</v>
      </c>
      <c r="S356" s="360" t="n">
        <f aca="false">S332*($K356+$L356)-S368</f>
        <v>74480.4</v>
      </c>
      <c r="T356" s="360" t="n">
        <f aca="false">T332*($K356+$L356)-T368</f>
        <v>76383.38</v>
      </c>
      <c r="U356" s="360" t="n">
        <f aca="false">U332*($K356+$L356)-U368</f>
        <v>76858.734</v>
      </c>
      <c r="V356" s="360" t="n">
        <f aca="false">V332*($K356+$L356)-V368</f>
        <v>74126.97</v>
      </c>
      <c r="W356" s="360" t="n">
        <f aca="false">W332*($K356+$L356)-W368</f>
        <v>76626.854</v>
      </c>
      <c r="X356" s="360" t="n">
        <f aca="false">X332*($K356+$L356)-X368</f>
        <v>74208.315</v>
      </c>
      <c r="Y356" s="360" t="n">
        <f aca="false">Y332*($K356+$L356)-Y368</f>
        <v>77128.2945</v>
      </c>
    </row>
    <row r="357" customFormat="false" ht="12.75" hidden="false" customHeight="true" outlineLevel="0" collapsed="false">
      <c r="A357" s="294" t="s">
        <v>405</v>
      </c>
      <c r="B357" s="294" t="s">
        <v>406</v>
      </c>
      <c r="C357" s="294" t="s">
        <v>6</v>
      </c>
      <c r="D357" s="294" t="s">
        <v>332</v>
      </c>
      <c r="E357" s="443" t="n">
        <v>24925</v>
      </c>
      <c r="F357" s="443" t="s">
        <v>411</v>
      </c>
      <c r="G357" s="107"/>
      <c r="H357" s="444" t="n">
        <v>38017</v>
      </c>
      <c r="K357" s="357" t="n">
        <v>0.0567</v>
      </c>
      <c r="L357" s="294" t="n">
        <v>0.0033</v>
      </c>
      <c r="M357" s="361" t="s">
        <v>346</v>
      </c>
      <c r="N357" s="360" t="n">
        <f aca="false">N333*($K357+$L357)-N369</f>
        <v>89184.21</v>
      </c>
      <c r="O357" s="360" t="n">
        <f aca="false">O333*($K357+$L357)-O369</f>
        <v>80936.94</v>
      </c>
      <c r="P357" s="360" t="n">
        <f aca="false">P333*($K357+$L357)-P369</f>
        <v>89598.525</v>
      </c>
      <c r="Q357" s="360" t="n">
        <f aca="false">Q333*($K357+$L357)-Q369</f>
        <v>86139</v>
      </c>
      <c r="R357" s="360" t="n">
        <f aca="false">R333*($K357+$L357)-R369</f>
        <v>88943.805</v>
      </c>
      <c r="S357" s="360" t="n">
        <f aca="false">S333*($K357+$L357)-S369</f>
        <v>86436</v>
      </c>
      <c r="T357" s="360" t="n">
        <f aca="false">T333*($K357+$L357)-T369</f>
        <v>88294.2</v>
      </c>
      <c r="U357" s="360" t="n">
        <f aca="false">U333*($K357+$L357)-U369</f>
        <v>89133.06</v>
      </c>
      <c r="V357" s="360" t="n">
        <f aca="false">V333*($K357+$L357)-V369</f>
        <v>85812.3</v>
      </c>
      <c r="W357" s="360" t="n">
        <f aca="false">W333*($K357+$L357)-W369</f>
        <v>88723.86</v>
      </c>
      <c r="X357" s="360" t="n">
        <f aca="false">X333*($K357+$L357)-X369</f>
        <v>85955.85</v>
      </c>
      <c r="Y357" s="360" t="n">
        <f aca="false">Y333*($K357+$L357)-Y369</f>
        <v>89608.755</v>
      </c>
    </row>
    <row r="358" customFormat="false" ht="12.75" hidden="false" customHeight="true" outlineLevel="0" collapsed="false">
      <c r="A358" s="294" t="s">
        <v>405</v>
      </c>
      <c r="B358" s="294" t="s">
        <v>406</v>
      </c>
      <c r="C358" s="294" t="s">
        <v>6</v>
      </c>
      <c r="D358" s="294" t="s">
        <v>332</v>
      </c>
      <c r="E358" s="440" t="n">
        <v>25397</v>
      </c>
      <c r="F358" s="440" t="s">
        <v>412</v>
      </c>
      <c r="G358" s="440"/>
      <c r="H358" s="442" t="n">
        <v>37711</v>
      </c>
      <c r="K358" s="374" t="n">
        <v>0.0289</v>
      </c>
      <c r="L358" s="359" t="n">
        <v>0.0011</v>
      </c>
      <c r="M358" s="361" t="s">
        <v>346</v>
      </c>
      <c r="N358" s="360" t="n">
        <f aca="false">N334*($K358+$L358)-N370</f>
        <v>9045.614</v>
      </c>
      <c r="O358" s="360" t="n">
        <f aca="false">O334*($K358+$L358)-O370</f>
        <v>8195.796</v>
      </c>
      <c r="P358" s="360" t="n">
        <f aca="false">P334*($K358+$L358)-P370</f>
        <v>9073.235</v>
      </c>
      <c r="Q358" s="360" t="n">
        <f aca="false">Q334*($K358+$L358)-Q370</f>
        <v>8742.6</v>
      </c>
      <c r="R358" s="360" t="n">
        <f aca="false">R334*($K358+$L358)-R370</f>
        <v>9029.587</v>
      </c>
      <c r="S358" s="360" t="n">
        <f aca="false">S334*($K358+$L358)-S370</f>
        <v>8762.4</v>
      </c>
      <c r="T358" s="360" t="n">
        <f aca="false">T334*($K358+$L358)-T370</f>
        <v>8986.28</v>
      </c>
      <c r="U358" s="360" t="n">
        <f aca="false">U334*($K358+$L358)-U370</f>
        <v>9042.204</v>
      </c>
      <c r="V358" s="360" t="n">
        <f aca="false">V334*($K358+$L358)-V370</f>
        <v>8720.82</v>
      </c>
      <c r="W358" s="360" t="n">
        <f aca="false">W334*($K358+$L358)-W370</f>
        <v>9014.924</v>
      </c>
      <c r="X358" s="360" t="n">
        <f aca="false">X334*($K358+$L358)-X370</f>
        <v>8730.39</v>
      </c>
      <c r="Y358" s="360" t="n">
        <f aca="false">Y334*($K358+$L358)-Y370</f>
        <v>9073.917</v>
      </c>
    </row>
    <row r="359" customFormat="false" ht="12.75" hidden="false" customHeight="true" outlineLevel="0" collapsed="false">
      <c r="A359" s="383" t="s">
        <v>405</v>
      </c>
      <c r="B359" s="383" t="s">
        <v>406</v>
      </c>
      <c r="C359" s="383" t="s">
        <v>6</v>
      </c>
      <c r="D359" s="383" t="s">
        <v>332</v>
      </c>
      <c r="E359" s="445" t="n">
        <v>27342</v>
      </c>
      <c r="F359" s="380" t="s">
        <v>347</v>
      </c>
      <c r="G359" s="387" t="n">
        <v>36892</v>
      </c>
      <c r="H359" s="376" t="n">
        <v>37256</v>
      </c>
      <c r="I359" s="381"/>
      <c r="J359" s="383"/>
      <c r="K359" s="418" t="n">
        <v>0.0589</v>
      </c>
      <c r="L359" s="380" t="n">
        <v>0.0011</v>
      </c>
      <c r="M359" s="386" t="s">
        <v>346</v>
      </c>
      <c r="N359" s="310" t="n">
        <f aca="false">N335*($K359+$L359)-N371</f>
        <v>55036.842</v>
      </c>
      <c r="O359" s="310" t="n">
        <f aca="false">O335*($K359+$L359)-O371</f>
        <v>49787.388</v>
      </c>
      <c r="P359" s="310" t="n">
        <f aca="false">P335*($K359+$L359)-P371</f>
        <v>55119.705</v>
      </c>
      <c r="Q359" s="310" t="n">
        <f aca="false">Q335*($K359+$L359)-Q371</f>
        <v>53227.8</v>
      </c>
      <c r="R359" s="310" t="n">
        <f aca="false">R335*($K359+$L359)-R371</f>
        <v>54988.761</v>
      </c>
      <c r="S359" s="310" t="n">
        <f aca="false">S335*($K359+$L359)-S371</f>
        <v>53287.2</v>
      </c>
      <c r="T359" s="310" t="n">
        <f aca="false">T335*($K359+$L359)-T371</f>
        <v>54858.84</v>
      </c>
      <c r="U359" s="310" t="n">
        <f aca="false">U335*($K359+$L359)-U371</f>
        <v>55026.612</v>
      </c>
      <c r="V359" s="310" t="n">
        <f aca="false">V335*($K359+$L359)-V371</f>
        <v>53162.46</v>
      </c>
      <c r="W359" s="310" t="n">
        <f aca="false">W335*($K359+$L359)-W371</f>
        <v>54944.772</v>
      </c>
      <c r="X359" s="310" t="n">
        <f aca="false">X335*($K359+$L359)-X371</f>
        <v>53191.17</v>
      </c>
      <c r="Y359" s="310" t="n">
        <f aca="false">Y335*($K359+$L359)-Y371</f>
        <v>55121.751</v>
      </c>
      <c r="Z359" s="417"/>
      <c r="AC359" s="417" t="n">
        <f aca="false">SUM(N359:Y359)</f>
        <v>647753.301</v>
      </c>
    </row>
    <row r="360" customFormat="false" ht="12.75" hidden="false" customHeight="true" outlineLevel="0" collapsed="false">
      <c r="A360" s="370" t="s">
        <v>405</v>
      </c>
      <c r="B360" s="370" t="s">
        <v>406</v>
      </c>
      <c r="C360" s="370" t="s">
        <v>6</v>
      </c>
      <c r="D360" s="370" t="s">
        <v>332</v>
      </c>
      <c r="E360" s="446" t="n">
        <v>26661</v>
      </c>
      <c r="F360" s="370" t="s">
        <v>357</v>
      </c>
      <c r="G360" s="370" t="s">
        <v>413</v>
      </c>
      <c r="H360" s="372"/>
      <c r="I360" s="373"/>
      <c r="K360" s="357" t="n">
        <v>0.0389</v>
      </c>
      <c r="L360" s="294" t="n">
        <v>0.0011</v>
      </c>
      <c r="M360" s="382" t="s">
        <v>346</v>
      </c>
      <c r="N360" s="373" t="n">
        <f aca="false">N336*($K360+$L360)-N372</f>
        <v>0</v>
      </c>
      <c r="O360" s="373" t="n">
        <f aca="false">O336*($K360+$L360)-O372</f>
        <v>0</v>
      </c>
      <c r="P360" s="373" t="n">
        <f aca="false">P336*($K360+$L360)-P372</f>
        <v>0</v>
      </c>
      <c r="Q360" s="373" t="n">
        <f aca="false">Q336*($K360+$L360)-Q372</f>
        <v>0</v>
      </c>
      <c r="R360" s="373" t="n">
        <f aca="false">R336*($K360+$L360)-R372</f>
        <v>0</v>
      </c>
      <c r="S360" s="373" t="n">
        <f aca="false">S336*($K360+$L360)-S372</f>
        <v>0</v>
      </c>
      <c r="T360" s="373" t="n">
        <f aca="false">T336*($K360+$L360)-T372</f>
        <v>0</v>
      </c>
      <c r="U360" s="373" t="n">
        <f aca="false">U336*($K360+$L360)-U372</f>
        <v>0</v>
      </c>
      <c r="V360" s="373" t="n">
        <f aca="false">V336*($K360+$L360)-V372</f>
        <v>0</v>
      </c>
      <c r="W360" s="373" t="n">
        <f aca="false">W336*($K360+$L360)-W372</f>
        <v>0</v>
      </c>
      <c r="X360" s="373" t="n">
        <f aca="false">X336*($K360+$L360)-X372</f>
        <v>0</v>
      </c>
      <c r="Y360" s="373" t="n">
        <f aca="false">Y336*($K360+$L360)-Y372</f>
        <v>0</v>
      </c>
      <c r="AC360" s="417" t="n">
        <f aca="false">SUM(N360:Y360)</f>
        <v>0</v>
      </c>
    </row>
    <row r="361" customFormat="false" ht="12.75" hidden="false" customHeight="true" outlineLevel="0" collapsed="false">
      <c r="A361" s="370" t="s">
        <v>405</v>
      </c>
      <c r="B361" s="370" t="s">
        <v>406</v>
      </c>
      <c r="C361" s="370" t="s">
        <v>6</v>
      </c>
      <c r="D361" s="370" t="s">
        <v>332</v>
      </c>
      <c r="E361" s="446" t="n">
        <v>27651</v>
      </c>
      <c r="F361" s="370" t="s">
        <v>407</v>
      </c>
      <c r="G361" s="371" t="n">
        <v>37073</v>
      </c>
      <c r="H361" s="372" t="n">
        <v>37164</v>
      </c>
      <c r="I361" s="373"/>
      <c r="K361" s="357" t="n">
        <v>0.102</v>
      </c>
      <c r="L361" s="294" t="n">
        <v>0.0011</v>
      </c>
      <c r="M361" s="382" t="s">
        <v>352</v>
      </c>
      <c r="N361" s="447"/>
      <c r="O361" s="447"/>
      <c r="P361" s="447"/>
      <c r="Q361" s="447"/>
      <c r="R361" s="447"/>
      <c r="S361" s="447"/>
      <c r="T361" s="395" t="n">
        <f aca="false">T337*($K361+$L361)-T373</f>
        <v>104436.024</v>
      </c>
      <c r="U361" s="395" t="n">
        <f aca="false">U337*($K361+$L361)-U373</f>
        <v>104620.5732</v>
      </c>
      <c r="V361" s="395" t="n">
        <f aca="false">V337*($K361)</f>
        <v>45900</v>
      </c>
      <c r="W361" s="395" t="n">
        <f aca="false">W337*($K361+$L361)-W373</f>
        <v>0</v>
      </c>
      <c r="X361" s="395" t="n">
        <f aca="false">X337*($K361+$L361)-X373</f>
        <v>0</v>
      </c>
      <c r="Y361" s="395" t="n">
        <f aca="false">Y337*($K361+$L361)-Y373</f>
        <v>0</v>
      </c>
      <c r="AC361" s="417"/>
    </row>
    <row r="362" customFormat="false" ht="12.75" hidden="false" customHeight="true" outlineLevel="0" collapsed="false">
      <c r="N362" s="360" t="n">
        <f aca="false">SUM(N353:N360)</f>
        <v>385239.0336</v>
      </c>
      <c r="O362" s="360" t="n">
        <f aca="false">SUM(O353:O360)</f>
        <v>349041.7504</v>
      </c>
      <c r="P362" s="360" t="n">
        <f aca="false">SUM(P353:P360)</f>
        <v>386410.164</v>
      </c>
      <c r="Q362" s="360" t="n">
        <f aca="false">SUM(Q353:Q360)</f>
        <v>372336.24</v>
      </c>
      <c r="R362" s="360" t="n">
        <f aca="false">SUM(R353:R360)</f>
        <v>384559.4888</v>
      </c>
      <c r="S362" s="360" t="n">
        <f aca="false">SUM(S353:S360)</f>
        <v>373175.76</v>
      </c>
      <c r="T362" s="360" t="n">
        <f aca="false">SUM(T353:T361)</f>
        <v>487159.296</v>
      </c>
      <c r="U362" s="360" t="n">
        <f aca="false">SUM(U353:U361)</f>
        <v>489715.0228</v>
      </c>
      <c r="V362" s="360" t="n">
        <f aca="false">SUM(V353:V361)</f>
        <v>417312.768</v>
      </c>
      <c r="W362" s="360" t="n">
        <f aca="false">SUM(W353:W361)</f>
        <v>383937.7776</v>
      </c>
      <c r="X362" s="360" t="n">
        <f aca="false">SUM(X353:X361)</f>
        <v>389518.536</v>
      </c>
      <c r="Y362" s="360" t="n">
        <f aca="false">SUM(Y353:Y361)</f>
        <v>404729.0808</v>
      </c>
      <c r="Z362" s="417" t="n">
        <f aca="false">SUM(N362:Y362)</f>
        <v>4823134.918</v>
      </c>
    </row>
    <row r="364" customFormat="false" ht="12.75" hidden="false" customHeight="true" outlineLevel="0" collapsed="false">
      <c r="AC364" s="417" t="n">
        <f aca="false">Y365</f>
        <v>339.1245</v>
      </c>
      <c r="AD364" s="417" t="n">
        <f aca="false">AC364</f>
        <v>339.1245</v>
      </c>
    </row>
    <row r="365" customFormat="false" ht="12.75" hidden="false" customHeight="true" outlineLevel="0" collapsed="false">
      <c r="A365" s="294" t="s">
        <v>405</v>
      </c>
      <c r="B365" s="294" t="s">
        <v>406</v>
      </c>
      <c r="C365" s="294" t="s">
        <v>6</v>
      </c>
      <c r="D365" s="294" t="s">
        <v>329</v>
      </c>
      <c r="E365" s="440" t="n">
        <v>25067</v>
      </c>
      <c r="F365" s="440" t="s">
        <v>407</v>
      </c>
      <c r="H365" s="378" t="n">
        <v>37225</v>
      </c>
      <c r="K365" s="357" t="n">
        <v>0.0439</v>
      </c>
      <c r="L365" s="294" t="n">
        <v>0.0011</v>
      </c>
      <c r="M365" s="361" t="s">
        <v>346</v>
      </c>
      <c r="N365" s="360" t="n">
        <f aca="false">N341*$L365</f>
        <v>381.579</v>
      </c>
      <c r="O365" s="360" t="n">
        <f aca="false">O341*$L365</f>
        <v>306.306</v>
      </c>
      <c r="P365" s="360" t="n">
        <f aca="false">P341*$L365</f>
        <v>340.1475</v>
      </c>
      <c r="Q365" s="360" t="n">
        <f aca="false">Q341*$L365</f>
        <v>386.1</v>
      </c>
      <c r="R365" s="360" t="n">
        <f aca="false">R341*$L365</f>
        <v>405.6195</v>
      </c>
      <c r="S365" s="360" t="n">
        <f aca="false">S341*$L365</f>
        <v>356.4</v>
      </c>
      <c r="T365" s="360" t="n">
        <f aca="false">T341*$L365</f>
        <v>470.58</v>
      </c>
      <c r="U365" s="360" t="n">
        <f aca="false">U341*$L365</f>
        <v>386.694</v>
      </c>
      <c r="V365" s="360" t="n">
        <f aca="false">V341*$L365</f>
        <v>418.77</v>
      </c>
      <c r="W365" s="360" t="n">
        <f aca="false">W341*$L365</f>
        <v>427.614</v>
      </c>
      <c r="X365" s="360" t="n">
        <f aca="false">X341*$L365</f>
        <v>404.415</v>
      </c>
      <c r="Y365" s="373" t="n">
        <f aca="false">Y341*$L365</f>
        <v>339.1245</v>
      </c>
      <c r="AD365" s="417" t="n">
        <f aca="false">AC365</f>
        <v>0</v>
      </c>
      <c r="AF365" s="417" t="n">
        <f aca="false">SUM(N365:Y365)-Y365</f>
        <v>4284.225</v>
      </c>
    </row>
    <row r="366" customFormat="false" ht="12.75" hidden="false" customHeight="true" outlineLevel="0" collapsed="false">
      <c r="A366" s="294" t="s">
        <v>405</v>
      </c>
      <c r="B366" s="294" t="s">
        <v>406</v>
      </c>
      <c r="C366" s="294" t="s">
        <v>6</v>
      </c>
      <c r="D366" s="294" t="s">
        <v>329</v>
      </c>
      <c r="E366" s="440" t="n">
        <v>26436</v>
      </c>
      <c r="F366" s="440" t="s">
        <v>408</v>
      </c>
      <c r="H366" s="378" t="n">
        <v>37925</v>
      </c>
      <c r="K366" s="357" t="n">
        <v>0.0489</v>
      </c>
      <c r="L366" s="294" t="n">
        <v>0.0011</v>
      </c>
      <c r="M366" s="361" t="s">
        <v>346</v>
      </c>
      <c r="N366" s="360" t="n">
        <f aca="false">N342*$L366</f>
        <v>1500.8774</v>
      </c>
      <c r="O366" s="360" t="n">
        <f aca="false">O342*$L366</f>
        <v>1204.8036</v>
      </c>
      <c r="P366" s="360" t="n">
        <f aca="false">P342*$L366</f>
        <v>1337.9135</v>
      </c>
      <c r="Q366" s="360" t="n">
        <f aca="false">Q342*$L366</f>
        <v>1518.66</v>
      </c>
      <c r="R366" s="360" t="n">
        <f aca="false">R342*$L366</f>
        <v>1595.4367</v>
      </c>
      <c r="S366" s="360" t="n">
        <f aca="false">S342*$L366</f>
        <v>1401.84</v>
      </c>
      <c r="T366" s="360" t="n">
        <f aca="false">T342*$L366</f>
        <v>1850.948</v>
      </c>
      <c r="U366" s="360" t="n">
        <f aca="false">U342*$L366</f>
        <v>1520.9964</v>
      </c>
      <c r="V366" s="360" t="n">
        <f aca="false">V342*$L366</f>
        <v>1647.162</v>
      </c>
      <c r="W366" s="360" t="n">
        <f aca="false">W342*$L366</f>
        <v>1681.9484</v>
      </c>
      <c r="X366" s="360" t="n">
        <f aca="false">X342*$L366</f>
        <v>1590.699</v>
      </c>
      <c r="Y366" s="360" t="n">
        <f aca="false">Y342*$L366</f>
        <v>1333.8897</v>
      </c>
      <c r="AD366" s="417" t="n">
        <f aca="false">AC366</f>
        <v>0</v>
      </c>
      <c r="AF366" s="417" t="n">
        <f aca="false">SUM(N366:Y366)</f>
        <v>18185.1747</v>
      </c>
    </row>
    <row r="367" customFormat="false" ht="12.75" hidden="false" customHeight="true" outlineLevel="0" collapsed="false">
      <c r="A367" s="294" t="s">
        <v>405</v>
      </c>
      <c r="B367" s="294" t="s">
        <v>406</v>
      </c>
      <c r="C367" s="294" t="s">
        <v>6</v>
      </c>
      <c r="D367" s="294" t="s">
        <v>329</v>
      </c>
      <c r="E367" s="440" t="n">
        <v>24924</v>
      </c>
      <c r="F367" s="440" t="s">
        <v>409</v>
      </c>
      <c r="H367" s="378" t="n">
        <v>38017</v>
      </c>
      <c r="K367" s="357" t="n">
        <v>0.0567</v>
      </c>
      <c r="L367" s="294" t="n">
        <v>0.0033</v>
      </c>
      <c r="M367" s="361" t="s">
        <v>346</v>
      </c>
      <c r="N367" s="360" t="n">
        <f aca="false">N343*$L367</f>
        <v>1907.895</v>
      </c>
      <c r="O367" s="360" t="n">
        <f aca="false">O343*$L367</f>
        <v>1531.53</v>
      </c>
      <c r="P367" s="360" t="n">
        <f aca="false">P343*$L367</f>
        <v>1700.7375</v>
      </c>
      <c r="Q367" s="360" t="n">
        <f aca="false">Q343*$L367</f>
        <v>1930.5</v>
      </c>
      <c r="R367" s="360" t="n">
        <f aca="false">R343*$L367</f>
        <v>2028.0975</v>
      </c>
      <c r="S367" s="360" t="n">
        <f aca="false">S343*$L367</f>
        <v>1782</v>
      </c>
      <c r="T367" s="360" t="n">
        <f aca="false">T343*$L367</f>
        <v>2352.9</v>
      </c>
      <c r="U367" s="360" t="n">
        <f aca="false">U343*$L367</f>
        <v>1933.47</v>
      </c>
      <c r="V367" s="360" t="n">
        <f aca="false">V343*$L367</f>
        <v>2093.85</v>
      </c>
      <c r="W367" s="360" t="n">
        <f aca="false">W343*$L367</f>
        <v>2138.07</v>
      </c>
      <c r="X367" s="360" t="n">
        <f aca="false">X343*$L367</f>
        <v>2022.075</v>
      </c>
      <c r="Y367" s="360" t="n">
        <f aca="false">Y343*$L367</f>
        <v>1695.6225</v>
      </c>
      <c r="AD367" s="417" t="n">
        <f aca="false">AC367</f>
        <v>0</v>
      </c>
      <c r="AF367" s="417" t="n">
        <f aca="false">SUM(N367:Y367)</f>
        <v>23116.7475</v>
      </c>
    </row>
    <row r="368" customFormat="false" ht="12.75" hidden="false" customHeight="true" outlineLevel="0" collapsed="false">
      <c r="A368" s="294" t="s">
        <v>405</v>
      </c>
      <c r="B368" s="294" t="s">
        <v>406</v>
      </c>
      <c r="C368" s="294" t="s">
        <v>6</v>
      </c>
      <c r="D368" s="294" t="s">
        <v>329</v>
      </c>
      <c r="E368" s="440" t="n">
        <v>26044</v>
      </c>
      <c r="F368" s="440" t="s">
        <v>410</v>
      </c>
      <c r="G368" s="441"/>
      <c r="H368" s="442" t="n">
        <v>37925</v>
      </c>
      <c r="K368" s="357" t="n">
        <v>0.0289</v>
      </c>
      <c r="L368" s="294" t="n">
        <v>0.0011</v>
      </c>
      <c r="M368" s="361" t="s">
        <v>346</v>
      </c>
      <c r="N368" s="360" t="n">
        <f aca="false">N344*$L368</f>
        <v>2162.281</v>
      </c>
      <c r="O368" s="360" t="n">
        <f aca="false">O344*$L368</f>
        <v>1735.734</v>
      </c>
      <c r="P368" s="360" t="n">
        <f aca="false">P344*$L368</f>
        <v>1927.5025</v>
      </c>
      <c r="Q368" s="360" t="n">
        <f aca="false">Q344*$L368</f>
        <v>2187.9</v>
      </c>
      <c r="R368" s="360" t="n">
        <f aca="false">R344*$L368</f>
        <v>2298.5105</v>
      </c>
      <c r="S368" s="360" t="n">
        <f aca="false">S344*$L368</f>
        <v>2019.6</v>
      </c>
      <c r="T368" s="360" t="n">
        <f aca="false">T344*$L368</f>
        <v>2666.62</v>
      </c>
      <c r="U368" s="360" t="n">
        <f aca="false">U344*$L368</f>
        <v>2191.266</v>
      </c>
      <c r="V368" s="360" t="n">
        <f aca="false">V344*$L368</f>
        <v>2373.03</v>
      </c>
      <c r="W368" s="360" t="n">
        <f aca="false">W344*$L368</f>
        <v>2423.146</v>
      </c>
      <c r="X368" s="360" t="n">
        <f aca="false">X344*$L368</f>
        <v>2291.685</v>
      </c>
      <c r="Y368" s="360" t="n">
        <f aca="false">Y344*$L368</f>
        <v>1921.7055</v>
      </c>
      <c r="AD368" s="417" t="n">
        <f aca="false">AC368</f>
        <v>0</v>
      </c>
      <c r="AF368" s="417" t="n">
        <f aca="false">SUM(N368:Y368)</f>
        <v>26198.9805</v>
      </c>
    </row>
    <row r="369" customFormat="false" ht="12.75" hidden="false" customHeight="true" outlineLevel="0" collapsed="false">
      <c r="A369" s="294" t="s">
        <v>405</v>
      </c>
      <c r="B369" s="294" t="s">
        <v>406</v>
      </c>
      <c r="C369" s="294" t="s">
        <v>6</v>
      </c>
      <c r="D369" s="294" t="s">
        <v>329</v>
      </c>
      <c r="E369" s="443" t="n">
        <v>24925</v>
      </c>
      <c r="F369" s="443" t="s">
        <v>411</v>
      </c>
      <c r="G369" s="107"/>
      <c r="H369" s="444" t="n">
        <v>38017</v>
      </c>
      <c r="K369" s="357" t="n">
        <v>0.0567</v>
      </c>
      <c r="L369" s="294" t="n">
        <v>0.0033</v>
      </c>
      <c r="M369" s="361" t="s">
        <v>346</v>
      </c>
      <c r="N369" s="360" t="n">
        <f aca="false">N345*$L369</f>
        <v>3815.79</v>
      </c>
      <c r="O369" s="360" t="n">
        <f aca="false">O345*$L369</f>
        <v>3063.06</v>
      </c>
      <c r="P369" s="360" t="n">
        <f aca="false">P345*$L369</f>
        <v>3401.475</v>
      </c>
      <c r="Q369" s="360" t="n">
        <f aca="false">Q345*$L369</f>
        <v>3861</v>
      </c>
      <c r="R369" s="360" t="n">
        <f aca="false">R345*$L369</f>
        <v>4056.195</v>
      </c>
      <c r="S369" s="360" t="n">
        <f aca="false">S345*$L369</f>
        <v>3564</v>
      </c>
      <c r="T369" s="360" t="n">
        <f aca="false">T345*$L369</f>
        <v>4705.8</v>
      </c>
      <c r="U369" s="360" t="n">
        <f aca="false">U345*$L369</f>
        <v>3866.94</v>
      </c>
      <c r="V369" s="360" t="n">
        <f aca="false">V345*$L369</f>
        <v>4187.7</v>
      </c>
      <c r="W369" s="360" t="n">
        <f aca="false">W345*$L369</f>
        <v>4276.14</v>
      </c>
      <c r="X369" s="360" t="n">
        <f aca="false">X345*$L369</f>
        <v>4044.15</v>
      </c>
      <c r="Y369" s="360" t="n">
        <f aca="false">Y345*$L369</f>
        <v>3391.245</v>
      </c>
      <c r="AD369" s="417" t="n">
        <f aca="false">AC369</f>
        <v>0</v>
      </c>
      <c r="AF369" s="417" t="n">
        <f aca="false">SUM(N369:Y369)</f>
        <v>46233.495</v>
      </c>
    </row>
    <row r="370" customFormat="false" ht="12.75" hidden="false" customHeight="true" outlineLevel="0" collapsed="false">
      <c r="A370" s="294" t="s">
        <v>405</v>
      </c>
      <c r="B370" s="294" t="s">
        <v>406</v>
      </c>
      <c r="C370" s="294" t="s">
        <v>6</v>
      </c>
      <c r="D370" s="294" t="s">
        <v>329</v>
      </c>
      <c r="E370" s="440" t="n">
        <v>25397</v>
      </c>
      <c r="F370" s="440" t="s">
        <v>412</v>
      </c>
      <c r="G370" s="440"/>
      <c r="H370" s="442" t="n">
        <v>37711</v>
      </c>
      <c r="K370" s="374" t="n">
        <v>0.0289</v>
      </c>
      <c r="L370" s="359" t="n">
        <v>0.0011</v>
      </c>
      <c r="M370" s="361" t="s">
        <v>346</v>
      </c>
      <c r="N370" s="360" t="n">
        <f aca="false">N346*$L370</f>
        <v>254.386</v>
      </c>
      <c r="O370" s="360" t="n">
        <f aca="false">O346*$L370</f>
        <v>204.204</v>
      </c>
      <c r="P370" s="360" t="n">
        <f aca="false">P346*$L370</f>
        <v>226.765</v>
      </c>
      <c r="Q370" s="360" t="n">
        <f aca="false">Q346*$L370</f>
        <v>257.4</v>
      </c>
      <c r="R370" s="360" t="n">
        <f aca="false">R346*$L370</f>
        <v>270.413</v>
      </c>
      <c r="S370" s="360" t="n">
        <f aca="false">S346*$L370</f>
        <v>237.6</v>
      </c>
      <c r="T370" s="360" t="n">
        <f aca="false">T346*$L370</f>
        <v>313.72</v>
      </c>
      <c r="U370" s="360" t="n">
        <f aca="false">U346*$L370</f>
        <v>257.796</v>
      </c>
      <c r="V370" s="360" t="n">
        <f aca="false">V346*$L370</f>
        <v>279.18</v>
      </c>
      <c r="W370" s="360" t="n">
        <f aca="false">W346*$L370</f>
        <v>285.076</v>
      </c>
      <c r="X370" s="360" t="n">
        <f aca="false">X346*$L370</f>
        <v>269.61</v>
      </c>
      <c r="Y370" s="360" t="n">
        <f aca="false">Y346*$L370</f>
        <v>226.083</v>
      </c>
      <c r="AD370" s="417" t="n">
        <f aca="false">AC370</f>
        <v>0</v>
      </c>
      <c r="AF370" s="417" t="n">
        <f aca="false">SUM(N370:Y370)</f>
        <v>3082.233</v>
      </c>
    </row>
    <row r="371" customFormat="false" ht="12.75" hidden="false" customHeight="true" outlineLevel="0" collapsed="false">
      <c r="A371" s="370" t="s">
        <v>405</v>
      </c>
      <c r="B371" s="370" t="s">
        <v>406</v>
      </c>
      <c r="C371" s="383" t="s">
        <v>6</v>
      </c>
      <c r="D371" s="383" t="s">
        <v>329</v>
      </c>
      <c r="E371" s="445" t="n">
        <v>27342</v>
      </c>
      <c r="F371" s="380" t="s">
        <v>347</v>
      </c>
      <c r="G371" s="387" t="n">
        <v>36892</v>
      </c>
      <c r="H371" s="376" t="n">
        <v>37256</v>
      </c>
      <c r="I371" s="310"/>
      <c r="J371" s="383"/>
      <c r="K371" s="418" t="n">
        <v>0.0589</v>
      </c>
      <c r="L371" s="380" t="n">
        <v>0.0011</v>
      </c>
      <c r="M371" s="386" t="s">
        <v>346</v>
      </c>
      <c r="N371" s="310" t="n">
        <f aca="false">N347*$L371</f>
        <v>763.158</v>
      </c>
      <c r="O371" s="310" t="n">
        <f aca="false">O347*$L371</f>
        <v>612.612</v>
      </c>
      <c r="P371" s="310" t="n">
        <f aca="false">P347*$L371</f>
        <v>680.295</v>
      </c>
      <c r="Q371" s="310" t="n">
        <f aca="false">Q347*$L371</f>
        <v>772.2</v>
      </c>
      <c r="R371" s="310" t="n">
        <f aca="false">R347*$L371</f>
        <v>811.239</v>
      </c>
      <c r="S371" s="310" t="n">
        <f aca="false">S347*$L371</f>
        <v>712.8</v>
      </c>
      <c r="T371" s="310" t="n">
        <f aca="false">T347*$L371</f>
        <v>941.16</v>
      </c>
      <c r="U371" s="310" t="n">
        <f aca="false">U347*$L371</f>
        <v>773.388</v>
      </c>
      <c r="V371" s="310" t="n">
        <f aca="false">V347*$L371</f>
        <v>837.54</v>
      </c>
      <c r="W371" s="310" t="n">
        <f aca="false">W347*$L371</f>
        <v>855.228</v>
      </c>
      <c r="X371" s="310" t="n">
        <f aca="false">X347*$L371</f>
        <v>808.83</v>
      </c>
      <c r="Y371" s="310" t="n">
        <f aca="false">Y347*$L371</f>
        <v>678.249</v>
      </c>
      <c r="AC371" s="417" t="n">
        <f aca="false">SUM(N371:Y371)</f>
        <v>9246.699</v>
      </c>
      <c r="AD371" s="417" t="n">
        <f aca="false">AC371</f>
        <v>9246.699</v>
      </c>
      <c r="AF371" s="417"/>
    </row>
    <row r="372" customFormat="false" ht="12.75" hidden="false" customHeight="true" outlineLevel="0" collapsed="false">
      <c r="A372" s="370" t="s">
        <v>405</v>
      </c>
      <c r="B372" s="370" t="s">
        <v>406</v>
      </c>
      <c r="C372" s="370" t="s">
        <v>6</v>
      </c>
      <c r="D372" s="370" t="s">
        <v>329</v>
      </c>
      <c r="E372" s="446" t="n">
        <v>26661</v>
      </c>
      <c r="F372" s="370" t="s">
        <v>357</v>
      </c>
      <c r="G372" s="370" t="s">
        <v>413</v>
      </c>
      <c r="H372" s="372"/>
      <c r="K372" s="357" t="n">
        <v>0.0389</v>
      </c>
      <c r="L372" s="294" t="n">
        <v>0.0011</v>
      </c>
      <c r="M372" s="382" t="s">
        <v>346</v>
      </c>
      <c r="N372" s="373" t="n">
        <f aca="false">N348*$L372</f>
        <v>0</v>
      </c>
      <c r="O372" s="373" t="n">
        <f aca="false">O348*$L372</f>
        <v>0</v>
      </c>
      <c r="P372" s="373" t="n">
        <f aca="false">P348*$L372</f>
        <v>0</v>
      </c>
      <c r="Q372" s="373" t="n">
        <f aca="false">Q348*$L372</f>
        <v>0</v>
      </c>
      <c r="R372" s="373" t="n">
        <f aca="false">R348*$L372</f>
        <v>0</v>
      </c>
      <c r="S372" s="373" t="n">
        <f aca="false">S348*$L372</f>
        <v>0</v>
      </c>
      <c r="T372" s="373" t="n">
        <f aca="false">T348*$L372</f>
        <v>0</v>
      </c>
      <c r="U372" s="373" t="n">
        <f aca="false">U348*$L372</f>
        <v>0</v>
      </c>
      <c r="V372" s="373" t="n">
        <f aca="false">V348*$L372</f>
        <v>0</v>
      </c>
      <c r="W372" s="373" t="n">
        <f aca="false">W348*$L372</f>
        <v>0</v>
      </c>
      <c r="X372" s="373" t="n">
        <f aca="false">X348*$L372</f>
        <v>0</v>
      </c>
      <c r="Y372" s="373" t="n">
        <f aca="false">Y348*$L372</f>
        <v>0</v>
      </c>
      <c r="Z372" s="333"/>
      <c r="AA372" s="333"/>
      <c r="AB372" s="333"/>
      <c r="AC372" s="448" t="n">
        <f aca="false">SUM(N372:Y372)</f>
        <v>0</v>
      </c>
      <c r="AD372" s="448" t="n">
        <f aca="false">AC372</f>
        <v>0</v>
      </c>
      <c r="AE372" s="333"/>
      <c r="AF372" s="448"/>
      <c r="AG372" s="333"/>
      <c r="AH372" s="333"/>
      <c r="AI372" s="333"/>
      <c r="AJ372" s="333"/>
      <c r="AK372" s="333"/>
      <c r="AL372" s="333"/>
      <c r="AM372" s="333"/>
      <c r="AN372" s="333"/>
      <c r="AO372" s="333"/>
      <c r="AP372" s="333"/>
      <c r="AQ372" s="333"/>
      <c r="AR372" s="333"/>
      <c r="AS372" s="333"/>
      <c r="AT372" s="333"/>
      <c r="AU372" s="333"/>
      <c r="AV372" s="333"/>
      <c r="AW372" s="333"/>
      <c r="AX372" s="333"/>
      <c r="AY372" s="333"/>
      <c r="AZ372" s="333"/>
      <c r="BA372" s="333"/>
      <c r="BB372" s="333"/>
      <c r="BC372" s="333"/>
      <c r="BD372" s="333"/>
      <c r="BE372" s="333"/>
      <c r="BF372" s="333"/>
    </row>
    <row r="373" customFormat="false" ht="12.75" hidden="false" customHeight="true" outlineLevel="0" collapsed="false">
      <c r="A373" s="370" t="s">
        <v>405</v>
      </c>
      <c r="B373" s="370" t="s">
        <v>406</v>
      </c>
      <c r="C373" s="370" t="s">
        <v>6</v>
      </c>
      <c r="D373" s="370" t="s">
        <v>329</v>
      </c>
      <c r="E373" s="446" t="n">
        <v>27651</v>
      </c>
      <c r="F373" s="370" t="s">
        <v>407</v>
      </c>
      <c r="G373" s="371" t="n">
        <v>37073</v>
      </c>
      <c r="H373" s="372" t="n">
        <v>37164</v>
      </c>
      <c r="K373" s="357" t="n">
        <v>0.102</v>
      </c>
      <c r="L373" s="294" t="n">
        <v>0.0011</v>
      </c>
      <c r="M373" s="382" t="s">
        <v>352</v>
      </c>
      <c r="N373" s="447"/>
      <c r="O373" s="447"/>
      <c r="P373" s="447"/>
      <c r="Q373" s="447"/>
      <c r="R373" s="447"/>
      <c r="S373" s="447"/>
      <c r="T373" s="395" t="n">
        <f aca="false">T349*$L373</f>
        <v>1035.276</v>
      </c>
      <c r="U373" s="395" t="n">
        <f aca="false">U349*$L373</f>
        <v>850.7268</v>
      </c>
      <c r="V373" s="395" t="n">
        <f aca="false">V349*$L373</f>
        <v>418.77</v>
      </c>
      <c r="W373" s="395" t="n">
        <f aca="false">W349*$L373</f>
        <v>0</v>
      </c>
      <c r="X373" s="395" t="n">
        <f aca="false">X349*$L373</f>
        <v>0</v>
      </c>
      <c r="Y373" s="395" t="n">
        <f aca="false">Y349*$L373</f>
        <v>0</v>
      </c>
      <c r="Z373" s="333"/>
      <c r="AA373" s="333"/>
      <c r="AB373" s="333"/>
      <c r="AC373" s="448"/>
      <c r="AD373" s="448"/>
      <c r="AE373" s="333"/>
      <c r="AF373" s="448"/>
      <c r="AG373" s="333"/>
      <c r="AH373" s="333"/>
      <c r="AI373" s="333"/>
      <c r="AJ373" s="333"/>
      <c r="AK373" s="333"/>
      <c r="AL373" s="333"/>
      <c r="AM373" s="333"/>
      <c r="AN373" s="333"/>
      <c r="AO373" s="333"/>
      <c r="AP373" s="333"/>
      <c r="AQ373" s="333"/>
      <c r="AR373" s="333"/>
      <c r="AS373" s="333"/>
      <c r="AT373" s="333"/>
      <c r="AU373" s="333"/>
      <c r="AV373" s="333"/>
      <c r="AW373" s="333"/>
      <c r="AX373" s="333"/>
      <c r="AY373" s="333"/>
      <c r="AZ373" s="333"/>
      <c r="BA373" s="333"/>
      <c r="BB373" s="333"/>
      <c r="BC373" s="333"/>
      <c r="BD373" s="333"/>
      <c r="BE373" s="333"/>
      <c r="BF373" s="333"/>
    </row>
    <row r="374" customFormat="false" ht="12.75" hidden="false" customHeight="true" outlineLevel="0" collapsed="false">
      <c r="I374" s="360" t="n">
        <f aca="false">SUM(I365:I370)</f>
        <v>0</v>
      </c>
      <c r="N374" s="360" t="n">
        <f aca="false">SUM(N365:N372)</f>
        <v>10785.9664</v>
      </c>
      <c r="O374" s="360" t="n">
        <f aca="false">SUM(O365:O372)</f>
        <v>8658.2496</v>
      </c>
      <c r="P374" s="360" t="n">
        <f aca="false">SUM(P365:P372)</f>
        <v>9614.836</v>
      </c>
      <c r="Q374" s="360" t="n">
        <f aca="false">SUM(Q365:Q372)</f>
        <v>10913.76</v>
      </c>
      <c r="R374" s="360" t="n">
        <f aca="false">SUM(R365:R372)</f>
        <v>11465.5112</v>
      </c>
      <c r="S374" s="360" t="n">
        <f aca="false">SUM(S365:S372)</f>
        <v>10074.24</v>
      </c>
      <c r="T374" s="360" t="n">
        <f aca="false">SUM(T365:T373)</f>
        <v>14337.004</v>
      </c>
      <c r="U374" s="360" t="n">
        <f aca="false">SUM(U365:U373)</f>
        <v>11781.2772</v>
      </c>
      <c r="V374" s="360" t="n">
        <f aca="false">SUM(V365:V373)</f>
        <v>12256.002</v>
      </c>
      <c r="W374" s="360" t="n">
        <f aca="false">SUM(W365:W373)</f>
        <v>12087.2224</v>
      </c>
      <c r="X374" s="360" t="n">
        <f aca="false">SUM(X365:X373)</f>
        <v>11431.464</v>
      </c>
      <c r="Y374" s="360" t="n">
        <f aca="false">SUM(Y365:Y373)</f>
        <v>9585.9192</v>
      </c>
      <c r="Z374" s="417" t="n">
        <f aca="false">SUM(N374:Y374)</f>
        <v>132991.452</v>
      </c>
      <c r="AD374" s="417" t="n">
        <f aca="false">AC374</f>
        <v>0</v>
      </c>
      <c r="AE374" s="417" t="n">
        <f aca="false">Z374</f>
        <v>132991.452</v>
      </c>
    </row>
    <row r="376" customFormat="false" ht="12.75" hidden="false" customHeight="true" outlineLevel="0" collapsed="false">
      <c r="A376" s="294" t="s">
        <v>405</v>
      </c>
      <c r="B376" s="294" t="s">
        <v>406</v>
      </c>
      <c r="C376" s="294" t="s">
        <v>5</v>
      </c>
      <c r="D376" s="294" t="s">
        <v>367</v>
      </c>
      <c r="N376" s="360" t="n">
        <v>8700</v>
      </c>
      <c r="O376" s="360" t="n">
        <v>6700</v>
      </c>
      <c r="P376" s="360" t="n">
        <v>14100</v>
      </c>
      <c r="Q376" s="360" t="n">
        <v>12800</v>
      </c>
      <c r="R376" s="360" t="n">
        <v>29400</v>
      </c>
      <c r="S376" s="360" t="n">
        <v>22700</v>
      </c>
      <c r="T376" s="360" t="n">
        <v>5000</v>
      </c>
      <c r="U376" s="360" t="n">
        <v>7600</v>
      </c>
      <c r="V376" s="360" t="n">
        <v>7200</v>
      </c>
      <c r="W376" s="360" t="n">
        <v>43000</v>
      </c>
      <c r="X376" s="360" t="n">
        <v>43000</v>
      </c>
      <c r="Y376" s="360" t="n">
        <v>11700</v>
      </c>
    </row>
    <row r="377" customFormat="false" ht="12.75" hidden="false" customHeight="true" outlineLevel="0" collapsed="false">
      <c r="A377" s="294" t="s">
        <v>405</v>
      </c>
      <c r="B377" s="294" t="s">
        <v>406</v>
      </c>
      <c r="C377" s="294" t="s">
        <v>225</v>
      </c>
      <c r="D377" s="294" t="s">
        <v>367</v>
      </c>
      <c r="N377" s="357" t="n">
        <v>0.03</v>
      </c>
      <c r="O377" s="357" t="n">
        <v>0.0299</v>
      </c>
      <c r="P377" s="357" t="n">
        <v>0.03</v>
      </c>
      <c r="Q377" s="357" t="n">
        <v>0.0299</v>
      </c>
      <c r="R377" s="357" t="n">
        <v>0.0301</v>
      </c>
      <c r="S377" s="357" t="n">
        <v>0.03</v>
      </c>
      <c r="T377" s="357" t="n">
        <v>0.03</v>
      </c>
      <c r="U377" s="357" t="n">
        <v>0.03</v>
      </c>
      <c r="V377" s="357" t="n">
        <v>0.03</v>
      </c>
      <c r="W377" s="357" t="n">
        <v>0.03</v>
      </c>
      <c r="X377" s="357" t="n">
        <v>0.03</v>
      </c>
      <c r="Y377" s="357" t="n">
        <v>0.03</v>
      </c>
    </row>
    <row r="378" customFormat="false" ht="12.75" hidden="false" customHeight="true" outlineLevel="0" collapsed="false">
      <c r="A378" s="294" t="s">
        <v>405</v>
      </c>
      <c r="B378" s="294" t="s">
        <v>406</v>
      </c>
      <c r="C378" s="294" t="s">
        <v>6</v>
      </c>
      <c r="D378" s="294" t="s">
        <v>367</v>
      </c>
      <c r="N378" s="360" t="n">
        <f aca="false">N376*N377*N1</f>
        <v>8091</v>
      </c>
      <c r="O378" s="360" t="n">
        <f aca="false">O376*O377*O1</f>
        <v>5609.24</v>
      </c>
      <c r="P378" s="360" t="n">
        <f aca="false">P376*P377*P1</f>
        <v>13113</v>
      </c>
      <c r="Q378" s="360" t="n">
        <f aca="false">Q376*Q377*Q1</f>
        <v>11481.6</v>
      </c>
      <c r="R378" s="360" t="n">
        <f aca="false">R376*R377*R1</f>
        <v>27433.14</v>
      </c>
      <c r="S378" s="360" t="n">
        <f aca="false">S376*S377*S1</f>
        <v>20430</v>
      </c>
      <c r="T378" s="360" t="n">
        <f aca="false">T376*T377*T1</f>
        <v>4650</v>
      </c>
      <c r="U378" s="360" t="n">
        <f aca="false">U376*U377*U1</f>
        <v>7068</v>
      </c>
      <c r="V378" s="360" t="n">
        <f aca="false">V376*V377*V1</f>
        <v>6480</v>
      </c>
      <c r="W378" s="360" t="n">
        <f aca="false">W376*W377*W1</f>
        <v>39990</v>
      </c>
      <c r="X378" s="360" t="n">
        <f aca="false">X376*X377*X1</f>
        <v>38700</v>
      </c>
      <c r="Y378" s="360" t="n">
        <f aca="false">Y376*Y377*Y1</f>
        <v>10881</v>
      </c>
      <c r="Z378" s="417" t="n">
        <f aca="false">SUM(N378:Y378)</f>
        <v>193926.98</v>
      </c>
    </row>
    <row r="383" customFormat="false" ht="12.75" hidden="false" customHeight="true" outlineLevel="0" collapsed="false">
      <c r="A383" s="422"/>
      <c r="B383" s="422"/>
      <c r="C383" s="422"/>
      <c r="D383" s="422"/>
      <c r="E383" s="423"/>
      <c r="F383" s="422"/>
      <c r="G383" s="422"/>
      <c r="H383" s="423"/>
      <c r="I383" s="424"/>
      <c r="J383" s="422"/>
      <c r="K383" s="425"/>
      <c r="L383" s="422"/>
      <c r="M383" s="426"/>
      <c r="N383" s="424"/>
      <c r="O383" s="424"/>
      <c r="P383" s="424"/>
      <c r="Q383" s="424"/>
      <c r="R383" s="424"/>
      <c r="S383" s="424"/>
      <c r="T383" s="424"/>
      <c r="U383" s="424"/>
      <c r="V383" s="424"/>
      <c r="W383" s="424"/>
      <c r="X383" s="424"/>
      <c r="Y383" s="424"/>
      <c r="Z383" s="422"/>
      <c r="AA383" s="422"/>
      <c r="AB383" s="422"/>
      <c r="AC383" s="422"/>
      <c r="AD383" s="422"/>
      <c r="AE383" s="422"/>
      <c r="AF383" s="422"/>
      <c r="AG383" s="422"/>
      <c r="AH383" s="422"/>
      <c r="AI383" s="422"/>
      <c r="AJ383" s="422"/>
      <c r="AK383" s="422"/>
      <c r="AL383" s="422"/>
      <c r="AM383" s="422"/>
      <c r="AN383" s="422"/>
      <c r="AO383" s="422"/>
      <c r="AP383" s="422"/>
      <c r="AQ383" s="422"/>
      <c r="AR383" s="422"/>
      <c r="AS383" s="422"/>
      <c r="AT383" s="422"/>
      <c r="AU383" s="422"/>
      <c r="AV383" s="422"/>
      <c r="AW383" s="422"/>
      <c r="AX383" s="422"/>
      <c r="AY383" s="422"/>
      <c r="AZ383" s="422"/>
      <c r="BA383" s="422"/>
      <c r="BB383" s="422"/>
      <c r="BC383" s="422"/>
      <c r="BD383" s="422"/>
      <c r="BE383" s="422"/>
      <c r="BF383" s="422"/>
      <c r="BG383" s="422"/>
      <c r="BH383" s="422"/>
      <c r="BI383" s="422"/>
      <c r="BJ383" s="422"/>
      <c r="BK383" s="422"/>
      <c r="BL383" s="422"/>
      <c r="BM383" s="422"/>
      <c r="BN383" s="422"/>
      <c r="BO383" s="422"/>
      <c r="BP383" s="422"/>
      <c r="BQ383" s="422"/>
      <c r="BR383" s="422"/>
      <c r="BS383" s="422"/>
      <c r="BT383" s="422"/>
      <c r="BU383" s="422"/>
      <c r="BV383" s="422"/>
      <c r="BW383" s="422"/>
      <c r="BX383" s="422"/>
      <c r="BY383" s="422"/>
      <c r="BZ383" s="422"/>
      <c r="CA383" s="422"/>
      <c r="CB383" s="422"/>
      <c r="CC383" s="422"/>
      <c r="CD383" s="422"/>
      <c r="CE383" s="422"/>
      <c r="CF383" s="422"/>
      <c r="CG383" s="422"/>
      <c r="CH383" s="422"/>
      <c r="CI383" s="422"/>
      <c r="CJ383" s="422"/>
      <c r="CK383" s="422"/>
      <c r="CL383" s="422"/>
      <c r="CM383" s="422"/>
      <c r="CN383" s="422"/>
      <c r="CO383" s="422"/>
      <c r="CP383" s="422"/>
      <c r="CQ383" s="422"/>
      <c r="CR383" s="422"/>
      <c r="CS383" s="422"/>
      <c r="CT383" s="422"/>
      <c r="CU383" s="422"/>
      <c r="CV383" s="422"/>
      <c r="CW383" s="422"/>
      <c r="CX383" s="422"/>
      <c r="CY383" s="422"/>
      <c r="CZ383" s="422"/>
      <c r="DA383" s="422"/>
      <c r="DB383" s="422"/>
      <c r="DC383" s="422"/>
      <c r="DD383" s="422"/>
      <c r="DE383" s="422"/>
      <c r="DF383" s="422"/>
      <c r="DG383" s="422"/>
      <c r="DH383" s="422"/>
      <c r="DI383" s="422"/>
      <c r="DJ383" s="422"/>
      <c r="DK383" s="422"/>
      <c r="DL383" s="422"/>
      <c r="DM383" s="422"/>
      <c r="DN383" s="422"/>
      <c r="DO383" s="422"/>
      <c r="DP383" s="422"/>
      <c r="DQ383" s="422"/>
      <c r="DR383" s="422"/>
      <c r="DS383" s="422"/>
      <c r="DT383" s="422"/>
      <c r="DU383" s="422"/>
      <c r="DV383" s="422"/>
      <c r="DW383" s="422"/>
      <c r="DX383" s="422"/>
      <c r="DY383" s="422"/>
      <c r="DZ383" s="422"/>
      <c r="EA383" s="422"/>
      <c r="EB383" s="422"/>
      <c r="EC383" s="422"/>
      <c r="ED383" s="422"/>
      <c r="EE383" s="422"/>
      <c r="EF383" s="422"/>
      <c r="EG383" s="422"/>
      <c r="EH383" s="422"/>
      <c r="EI383" s="422"/>
      <c r="EJ383" s="422"/>
      <c r="EK383" s="422"/>
      <c r="EL383" s="422"/>
      <c r="EM383" s="422"/>
      <c r="EN383" s="422"/>
      <c r="EO383" s="422"/>
      <c r="EP383" s="422"/>
      <c r="EQ383" s="422"/>
      <c r="ER383" s="422"/>
      <c r="ES383" s="422"/>
      <c r="ET383" s="422"/>
      <c r="EU383" s="422"/>
      <c r="EV383" s="422"/>
      <c r="EW383" s="422"/>
      <c r="EX383" s="422"/>
      <c r="EY383" s="422"/>
      <c r="EZ383" s="422"/>
      <c r="FA383" s="422"/>
      <c r="FB383" s="422"/>
      <c r="FC383" s="422"/>
      <c r="FD383" s="422"/>
      <c r="FE383" s="422"/>
      <c r="FF383" s="422"/>
      <c r="FG383" s="422"/>
      <c r="FH383" s="422"/>
      <c r="FI383" s="422"/>
      <c r="FJ383" s="422"/>
      <c r="FK383" s="422"/>
      <c r="FL383" s="422"/>
      <c r="FM383" s="422"/>
      <c r="FN383" s="422"/>
      <c r="FO383" s="422"/>
      <c r="FP383" s="422"/>
      <c r="FQ383" s="422"/>
      <c r="FR383" s="422"/>
      <c r="FS383" s="422"/>
      <c r="FT383" s="422"/>
      <c r="FU383" s="422"/>
      <c r="FV383" s="422"/>
      <c r="FW383" s="422"/>
      <c r="FX383" s="422"/>
      <c r="FY383" s="422"/>
      <c r="FZ383" s="422"/>
      <c r="GA383" s="422"/>
      <c r="GB383" s="422"/>
      <c r="GC383" s="422"/>
      <c r="GD383" s="422"/>
      <c r="GE383" s="422"/>
      <c r="GF383" s="422"/>
      <c r="GG383" s="422"/>
      <c r="GH383" s="422"/>
      <c r="GI383" s="422"/>
      <c r="GJ383" s="422"/>
      <c r="GK383" s="422"/>
      <c r="GL383" s="422"/>
      <c r="GM383" s="422"/>
      <c r="GN383" s="422"/>
      <c r="GO383" s="422"/>
      <c r="GP383" s="422"/>
      <c r="GQ383" s="422"/>
      <c r="GR383" s="422"/>
      <c r="GS383" s="422"/>
      <c r="GT383" s="422"/>
      <c r="GU383" s="422"/>
      <c r="GV383" s="422"/>
      <c r="GW383" s="422"/>
      <c r="GX383" s="422"/>
      <c r="GY383" s="422"/>
      <c r="GZ383" s="422"/>
      <c r="HA383" s="422"/>
      <c r="HB383" s="422"/>
      <c r="HC383" s="422"/>
      <c r="HD383" s="422"/>
      <c r="HE383" s="422"/>
      <c r="HF383" s="422"/>
      <c r="HG383" s="422"/>
      <c r="HH383" s="422"/>
      <c r="HI383" s="422"/>
      <c r="HJ383" s="422"/>
      <c r="HK383" s="422"/>
      <c r="HL383" s="422"/>
      <c r="HM383" s="422"/>
      <c r="HN383" s="422"/>
      <c r="HO383" s="422"/>
      <c r="HP383" s="422"/>
      <c r="HQ383" s="422"/>
      <c r="HR383" s="422"/>
      <c r="HS383" s="422"/>
      <c r="HT383" s="422"/>
      <c r="HU383" s="422"/>
      <c r="HV383" s="422"/>
      <c r="HW383" s="422"/>
      <c r="HX383" s="422"/>
      <c r="HY383" s="422"/>
      <c r="HZ383" s="422"/>
      <c r="IA383" s="422"/>
      <c r="IB383" s="422"/>
      <c r="IC383" s="422"/>
      <c r="ID383" s="422"/>
      <c r="IE383" s="422"/>
      <c r="IF383" s="422"/>
      <c r="IG383" s="422"/>
      <c r="IH383" s="422"/>
      <c r="II383" s="422"/>
      <c r="IJ383" s="422"/>
      <c r="IK383" s="422"/>
      <c r="IL383" s="422"/>
      <c r="IM383" s="422"/>
      <c r="IN383" s="422"/>
      <c r="IO383" s="422"/>
      <c r="IP383" s="422"/>
      <c r="IQ383" s="422"/>
      <c r="IR383" s="422"/>
      <c r="IS383" s="422"/>
      <c r="IT383" s="422"/>
      <c r="IU383" s="422"/>
      <c r="IV383" s="422"/>
      <c r="IW383" s="422"/>
    </row>
    <row r="385" customFormat="false" ht="12.75" hidden="false" customHeight="true" outlineLevel="0" collapsed="false">
      <c r="A385" s="294" t="s">
        <v>405</v>
      </c>
      <c r="B385" s="294" t="s">
        <v>415</v>
      </c>
      <c r="C385" s="294" t="s">
        <v>5</v>
      </c>
      <c r="D385" s="294" t="s">
        <v>332</v>
      </c>
      <c r="E385" s="443" t="n">
        <v>24927</v>
      </c>
      <c r="F385" s="443" t="s">
        <v>416</v>
      </c>
      <c r="H385" s="378" t="n">
        <v>38748</v>
      </c>
      <c r="I385" s="360" t="n">
        <v>30000</v>
      </c>
      <c r="K385" s="449"/>
      <c r="L385" s="449"/>
      <c r="M385" s="361" t="s">
        <v>346</v>
      </c>
      <c r="N385" s="360" t="n">
        <f aca="false">$I$385*N$1</f>
        <v>930000</v>
      </c>
      <c r="O385" s="360" t="n">
        <f aca="false">$I$385*O$1</f>
        <v>840000</v>
      </c>
      <c r="P385" s="360" t="n">
        <f aca="false">$I$385*P$1</f>
        <v>930000</v>
      </c>
      <c r="Q385" s="360" t="n">
        <f aca="false">$I$385*Q$1</f>
        <v>900000</v>
      </c>
      <c r="R385" s="360" t="n">
        <f aca="false">$I$385*R$1</f>
        <v>930000</v>
      </c>
      <c r="S385" s="360" t="n">
        <f aca="false">$I$385*S$1</f>
        <v>900000</v>
      </c>
      <c r="T385" s="360" t="n">
        <f aca="false">$I$385*T$1</f>
        <v>930000</v>
      </c>
      <c r="U385" s="360" t="n">
        <f aca="false">$I$385*U$1</f>
        <v>930000</v>
      </c>
      <c r="V385" s="360" t="n">
        <f aca="false">$I$385*V$1</f>
        <v>900000</v>
      </c>
      <c r="W385" s="360" t="n">
        <f aca="false">$I$385*W$1</f>
        <v>930000</v>
      </c>
      <c r="X385" s="360" t="n">
        <f aca="false">$I$385*X$1</f>
        <v>900000</v>
      </c>
      <c r="Y385" s="360" t="n">
        <f aca="false">$I$385*Y$1</f>
        <v>930000</v>
      </c>
    </row>
    <row r="386" customFormat="false" ht="12.75" hidden="false" customHeight="true" outlineLevel="0" collapsed="false">
      <c r="A386" s="294" t="s">
        <v>405</v>
      </c>
      <c r="B386" s="294" t="s">
        <v>415</v>
      </c>
      <c r="C386" s="294" t="s">
        <v>5</v>
      </c>
      <c r="D386" s="294" t="s">
        <v>332</v>
      </c>
      <c r="E386" s="443" t="n">
        <v>24926</v>
      </c>
      <c r="F386" s="443" t="s">
        <v>417</v>
      </c>
      <c r="H386" s="378" t="n">
        <v>36922</v>
      </c>
      <c r="I386" s="360" t="n">
        <v>30000</v>
      </c>
      <c r="K386" s="449"/>
      <c r="L386" s="449"/>
      <c r="M386" s="361" t="s">
        <v>346</v>
      </c>
      <c r="N386" s="360" t="n">
        <f aca="false">$I$386*N$1</f>
        <v>930000</v>
      </c>
    </row>
    <row r="387" customFormat="false" ht="12.75" hidden="false" customHeight="true" outlineLevel="0" collapsed="false">
      <c r="A387" s="294" t="s">
        <v>405</v>
      </c>
      <c r="B387" s="294" t="s">
        <v>415</v>
      </c>
      <c r="C387" s="294" t="s">
        <v>5</v>
      </c>
      <c r="D387" s="294" t="s">
        <v>332</v>
      </c>
      <c r="E387" s="443" t="n">
        <v>24925</v>
      </c>
      <c r="F387" s="443" t="s">
        <v>418</v>
      </c>
      <c r="H387" s="378" t="n">
        <v>38017</v>
      </c>
      <c r="I387" s="360" t="n">
        <v>50000</v>
      </c>
      <c r="K387" s="449"/>
      <c r="L387" s="449"/>
      <c r="M387" s="361" t="s">
        <v>346</v>
      </c>
      <c r="N387" s="360" t="n">
        <f aca="false">$I$387*N$1</f>
        <v>1550000</v>
      </c>
      <c r="O387" s="360" t="n">
        <f aca="false">$I$387*O$1</f>
        <v>1400000</v>
      </c>
      <c r="P387" s="360" t="n">
        <f aca="false">$I$387*P$1</f>
        <v>1550000</v>
      </c>
      <c r="Q387" s="360" t="n">
        <f aca="false">$I$387*Q$1</f>
        <v>1500000</v>
      </c>
      <c r="R387" s="360" t="n">
        <f aca="false">$I$387*R$1</f>
        <v>1550000</v>
      </c>
      <c r="S387" s="360" t="n">
        <f aca="false">$I$387*S$1</f>
        <v>1500000</v>
      </c>
      <c r="T387" s="360" t="n">
        <f aca="false">$I$387*T$1</f>
        <v>1550000</v>
      </c>
      <c r="U387" s="360" t="n">
        <f aca="false">$I$387*U$1</f>
        <v>1550000</v>
      </c>
      <c r="V387" s="360" t="n">
        <f aca="false">$I$387*V$1</f>
        <v>1500000</v>
      </c>
      <c r="W387" s="360" t="n">
        <f aca="false">$I$387*W$1</f>
        <v>1550000</v>
      </c>
      <c r="X387" s="360" t="n">
        <f aca="false">$I$387*X$1</f>
        <v>1500000</v>
      </c>
      <c r="Y387" s="360" t="n">
        <f aca="false">$I$387*Y$1</f>
        <v>1550000</v>
      </c>
    </row>
    <row r="388" customFormat="false" ht="12.75" hidden="false" customHeight="true" outlineLevel="0" collapsed="false">
      <c r="A388" s="370" t="s">
        <v>405</v>
      </c>
      <c r="B388" s="370" t="s">
        <v>415</v>
      </c>
      <c r="C388" s="370" t="s">
        <v>5</v>
      </c>
      <c r="D388" s="370" t="s">
        <v>332</v>
      </c>
      <c r="E388" s="450" t="n">
        <v>27370</v>
      </c>
      <c r="F388" s="450" t="s">
        <v>419</v>
      </c>
      <c r="G388" s="387" t="n">
        <v>36892</v>
      </c>
      <c r="H388" s="376" t="n">
        <v>37256</v>
      </c>
      <c r="I388" s="381" t="n">
        <v>22000</v>
      </c>
      <c r="K388" s="449"/>
      <c r="L388" s="449"/>
      <c r="N388" s="381" t="n">
        <f aca="false">$I$388*N$1</f>
        <v>682000</v>
      </c>
      <c r="O388" s="373" t="n">
        <f aca="false">$I$388*O$1</f>
        <v>616000</v>
      </c>
      <c r="P388" s="373" t="n">
        <f aca="false">$I$388*P$1</f>
        <v>682000</v>
      </c>
      <c r="Q388" s="373" t="n">
        <f aca="false">$I$388*Q$1</f>
        <v>660000</v>
      </c>
      <c r="R388" s="373" t="n">
        <f aca="false">$I$388*R$1</f>
        <v>682000</v>
      </c>
      <c r="S388" s="373" t="n">
        <f aca="false">$I$388*S$1</f>
        <v>660000</v>
      </c>
      <c r="T388" s="373" t="n">
        <f aca="false">$I$388*T$1</f>
        <v>682000</v>
      </c>
      <c r="U388" s="373" t="n">
        <f aca="false">$I$388*U$1</f>
        <v>682000</v>
      </c>
      <c r="V388" s="373" t="n">
        <f aca="false">$I$388*V$1</f>
        <v>660000</v>
      </c>
      <c r="W388" s="373" t="n">
        <f aca="false">$I$388*W$1</f>
        <v>682000</v>
      </c>
      <c r="X388" s="373" t="n">
        <f aca="false">$I$388*X$1</f>
        <v>660000</v>
      </c>
      <c r="Y388" s="373" t="n">
        <f aca="false">$I$388*Y$1</f>
        <v>682000</v>
      </c>
    </row>
    <row r="389" customFormat="false" ht="12.75" hidden="false" customHeight="true" outlineLevel="0" collapsed="false">
      <c r="A389" s="370" t="s">
        <v>405</v>
      </c>
      <c r="B389" s="370" t="s">
        <v>415</v>
      </c>
      <c r="C389" s="370" t="s">
        <v>5</v>
      </c>
      <c r="D389" s="370" t="s">
        <v>332</v>
      </c>
      <c r="E389" s="450" t="n">
        <v>27371</v>
      </c>
      <c r="F389" s="450" t="s">
        <v>419</v>
      </c>
      <c r="G389" s="387" t="n">
        <v>36923</v>
      </c>
      <c r="H389" s="376" t="n">
        <v>37256</v>
      </c>
      <c r="I389" s="381" t="n">
        <v>21200</v>
      </c>
      <c r="K389" s="449"/>
      <c r="L389" s="449"/>
      <c r="N389" s="381"/>
      <c r="O389" s="373" t="n">
        <f aca="false">$I$389*O$1</f>
        <v>593600</v>
      </c>
      <c r="P389" s="373" t="n">
        <f aca="false">$I$389*P$1</f>
        <v>657200</v>
      </c>
      <c r="Q389" s="373" t="n">
        <f aca="false">$I$389*Q$1</f>
        <v>636000</v>
      </c>
      <c r="R389" s="373" t="n">
        <f aca="false">$I$389*R$1</f>
        <v>657200</v>
      </c>
      <c r="S389" s="373" t="n">
        <f aca="false">$I$389*S$1</f>
        <v>636000</v>
      </c>
      <c r="T389" s="373" t="n">
        <f aca="false">$I$389*T$1</f>
        <v>657200</v>
      </c>
      <c r="U389" s="373" t="n">
        <f aca="false">$I$389*U$1</f>
        <v>657200</v>
      </c>
      <c r="V389" s="373" t="n">
        <f aca="false">$I$389*V$1</f>
        <v>636000</v>
      </c>
      <c r="W389" s="373" t="n">
        <f aca="false">$I$389*W$1</f>
        <v>657200</v>
      </c>
      <c r="X389" s="373" t="n">
        <f aca="false">$I$389*X$1</f>
        <v>636000</v>
      </c>
      <c r="Y389" s="373" t="n">
        <f aca="false">$I$389*Y$1</f>
        <v>657200</v>
      </c>
    </row>
    <row r="390" customFormat="false" ht="12.75" hidden="false" customHeight="true" outlineLevel="0" collapsed="false">
      <c r="A390" s="370" t="s">
        <v>405</v>
      </c>
      <c r="B390" s="370" t="s">
        <v>415</v>
      </c>
      <c r="C390" s="370" t="s">
        <v>5</v>
      </c>
      <c r="D390" s="370" t="s">
        <v>332</v>
      </c>
      <c r="E390" s="451"/>
      <c r="F390" s="451" t="s">
        <v>420</v>
      </c>
      <c r="G390" s="370" t="s">
        <v>413</v>
      </c>
      <c r="H390" s="372"/>
      <c r="I390" s="373"/>
      <c r="K390" s="449"/>
      <c r="L390" s="449"/>
      <c r="N390" s="373" t="n">
        <f aca="false">$I$390*N$1</f>
        <v>0</v>
      </c>
      <c r="O390" s="373" t="n">
        <f aca="false">$I$390*O$1</f>
        <v>0</v>
      </c>
      <c r="P390" s="373" t="n">
        <f aca="false">$I$390*P$1</f>
        <v>0</v>
      </c>
      <c r="Q390" s="373" t="n">
        <f aca="false">$I$390*Q$1</f>
        <v>0</v>
      </c>
      <c r="R390" s="373" t="n">
        <f aca="false">$I$390*R$1</f>
        <v>0</v>
      </c>
      <c r="S390" s="373" t="n">
        <f aca="false">$I$390*S$1</f>
        <v>0</v>
      </c>
      <c r="T390" s="373" t="n">
        <f aca="false">$I$390*T$1</f>
        <v>0</v>
      </c>
      <c r="U390" s="373" t="n">
        <f aca="false">$I$390*U$1</f>
        <v>0</v>
      </c>
      <c r="V390" s="373" t="n">
        <f aca="false">$I$390*V$1</f>
        <v>0</v>
      </c>
      <c r="W390" s="373" t="n">
        <f aca="false">$I$390*W$1</f>
        <v>0</v>
      </c>
      <c r="X390" s="373" t="n">
        <f aca="false">$I$390*X$1</f>
        <v>0</v>
      </c>
      <c r="Y390" s="373" t="n">
        <f aca="false">$I$390*Y$1</f>
        <v>0</v>
      </c>
    </row>
    <row r="391" customFormat="false" ht="12.75" hidden="false" customHeight="true" outlineLevel="0" collapsed="false">
      <c r="A391" s="383" t="s">
        <v>405</v>
      </c>
      <c r="B391" s="383" t="s">
        <v>415</v>
      </c>
      <c r="C391" s="383" t="s">
        <v>5</v>
      </c>
      <c r="D391" s="383" t="s">
        <v>332</v>
      </c>
      <c r="E391" s="452" t="n">
        <v>25569</v>
      </c>
      <c r="F391" s="452" t="s">
        <v>372</v>
      </c>
      <c r="G391" s="380" t="s">
        <v>421</v>
      </c>
      <c r="H391" s="376" t="n">
        <v>37621</v>
      </c>
      <c r="I391" s="310" t="n">
        <v>13500</v>
      </c>
      <c r="J391" s="383"/>
      <c r="K391" s="453"/>
      <c r="L391" s="453"/>
      <c r="M391" s="386"/>
      <c r="N391" s="310" t="n">
        <f aca="false">$I$391*N$1</f>
        <v>418500</v>
      </c>
      <c r="O391" s="310" t="n">
        <f aca="false">$I$391*O$1</f>
        <v>378000</v>
      </c>
      <c r="P391" s="310" t="n">
        <f aca="false">$I$391*P$1</f>
        <v>418500</v>
      </c>
      <c r="Q391" s="310" t="n">
        <f aca="false">$I$391*Q$1</f>
        <v>405000</v>
      </c>
      <c r="R391" s="310" t="n">
        <f aca="false">$I$391*R$1</f>
        <v>418500</v>
      </c>
      <c r="S391" s="310" t="n">
        <f aca="false">$I$391*S$1</f>
        <v>405000</v>
      </c>
      <c r="T391" s="310" t="n">
        <f aca="false">$I$391*T$1</f>
        <v>418500</v>
      </c>
      <c r="U391" s="310" t="n">
        <f aca="false">$I$391*U$1</f>
        <v>418500</v>
      </c>
      <c r="V391" s="310" t="n">
        <f aca="false">$I$391*V$1</f>
        <v>405000</v>
      </c>
      <c r="W391" s="310" t="n">
        <f aca="false">$I$391*W$1</f>
        <v>418500</v>
      </c>
      <c r="X391" s="310" t="n">
        <f aca="false">$I$391*X$1</f>
        <v>405000</v>
      </c>
      <c r="Y391" s="310" t="n">
        <f aca="false">$I$391*Y$1</f>
        <v>418500</v>
      </c>
    </row>
    <row r="392" customFormat="false" ht="12.75" hidden="false" customHeight="true" outlineLevel="0" collapsed="false">
      <c r="A392" s="383" t="s">
        <v>405</v>
      </c>
      <c r="B392" s="383" t="s">
        <v>415</v>
      </c>
      <c r="C392" s="383" t="s">
        <v>5</v>
      </c>
      <c r="D392" s="383" t="s">
        <v>332</v>
      </c>
      <c r="E392" s="454" t="n">
        <v>27047</v>
      </c>
      <c r="F392" s="383" t="s">
        <v>422</v>
      </c>
      <c r="G392" s="380" t="s">
        <v>421</v>
      </c>
      <c r="H392" s="376" t="n">
        <v>38717</v>
      </c>
      <c r="I392" s="310" t="n">
        <v>125000</v>
      </c>
      <c r="J392" s="383"/>
      <c r="K392" s="385"/>
      <c r="L392" s="383"/>
      <c r="M392" s="386"/>
      <c r="N392" s="310" t="n">
        <f aca="false">$I$392*N$1</f>
        <v>3875000</v>
      </c>
      <c r="O392" s="310" t="n">
        <f aca="false">$I$392*O$1</f>
        <v>3500000</v>
      </c>
      <c r="P392" s="310" t="n">
        <f aca="false">$I$392*P$1</f>
        <v>3875000</v>
      </c>
      <c r="Q392" s="310" t="n">
        <f aca="false">$I$392*Q$1</f>
        <v>3750000</v>
      </c>
      <c r="R392" s="310" t="n">
        <f aca="false">$I$392*R$1</f>
        <v>3875000</v>
      </c>
      <c r="S392" s="310" t="n">
        <f aca="false">$I$392*S$1</f>
        <v>3750000</v>
      </c>
      <c r="T392" s="310" t="n">
        <f aca="false">$I$392*T$1</f>
        <v>3875000</v>
      </c>
      <c r="U392" s="310" t="n">
        <f aca="false">$I$392*U$1</f>
        <v>3875000</v>
      </c>
      <c r="V392" s="310" t="n">
        <f aca="false">$I$392*V$1</f>
        <v>3750000</v>
      </c>
      <c r="W392" s="310" t="n">
        <f aca="false">$I$392*W$1</f>
        <v>3875000</v>
      </c>
      <c r="X392" s="310" t="n">
        <f aca="false">$I$392*X$1</f>
        <v>3750000</v>
      </c>
      <c r="Y392" s="310" t="n">
        <f aca="false">$I$392*Y$1</f>
        <v>3875000</v>
      </c>
    </row>
    <row r="393" customFormat="false" ht="12.75" hidden="false" customHeight="true" outlineLevel="0" collapsed="false">
      <c r="A393" s="370"/>
      <c r="B393" s="370"/>
      <c r="C393" s="370"/>
      <c r="D393" s="370"/>
      <c r="E393" s="446"/>
      <c r="F393" s="370"/>
      <c r="G393" s="370"/>
      <c r="H393" s="414"/>
      <c r="I393" s="373"/>
      <c r="N393" s="373" t="n">
        <f aca="false">$I$393*N$1</f>
        <v>0</v>
      </c>
      <c r="O393" s="373" t="n">
        <f aca="false">$I$393*O$1</f>
        <v>0</v>
      </c>
      <c r="P393" s="373" t="n">
        <f aca="false">$I$393*P$1</f>
        <v>0</v>
      </c>
      <c r="Q393" s="373" t="n">
        <f aca="false">$I$393*Q$1</f>
        <v>0</v>
      </c>
      <c r="R393" s="373" t="n">
        <f aca="false">$I$393*R$1</f>
        <v>0</v>
      </c>
      <c r="S393" s="373" t="n">
        <f aca="false">$I$393*S$1</f>
        <v>0</v>
      </c>
      <c r="T393" s="373" t="n">
        <f aca="false">$I$393*T$1</f>
        <v>0</v>
      </c>
      <c r="U393" s="373" t="n">
        <f aca="false">$I$393*U$1</f>
        <v>0</v>
      </c>
      <c r="V393" s="373" t="n">
        <f aca="false">$I$393*V$1</f>
        <v>0</v>
      </c>
      <c r="W393" s="373" t="n">
        <f aca="false">$I$393*W$1</f>
        <v>0</v>
      </c>
      <c r="X393" s="373" t="n">
        <f aca="false">$I$393*X$1</f>
        <v>0</v>
      </c>
      <c r="Y393" s="373" t="n">
        <f aca="false">$I$393*Y$1</f>
        <v>0</v>
      </c>
    </row>
    <row r="394" customFormat="false" ht="12.75" hidden="false" customHeight="true" outlineLevel="0" collapsed="false">
      <c r="A394" s="370"/>
      <c r="B394" s="370"/>
      <c r="C394" s="370"/>
      <c r="D394" s="370"/>
      <c r="E394" s="455"/>
      <c r="F394" s="370"/>
      <c r="G394" s="370"/>
      <c r="H394" s="414"/>
      <c r="I394" s="447"/>
      <c r="J394" s="370"/>
      <c r="K394" s="413"/>
      <c r="L394" s="370"/>
      <c r="M394" s="382"/>
      <c r="N394" s="447" t="n">
        <f aca="false">$I$394*N$1</f>
        <v>0</v>
      </c>
      <c r="O394" s="447" t="n">
        <f aca="false">$I$394*O$1</f>
        <v>0</v>
      </c>
      <c r="P394" s="447" t="n">
        <f aca="false">$I$394*P$1</f>
        <v>0</v>
      </c>
      <c r="Q394" s="447" t="n">
        <f aca="false">$I$394*Q$1</f>
        <v>0</v>
      </c>
      <c r="R394" s="447" t="n">
        <f aca="false">$I$394*R$1</f>
        <v>0</v>
      </c>
      <c r="S394" s="447" t="n">
        <f aca="false">$I$394*S$1</f>
        <v>0</v>
      </c>
      <c r="T394" s="447" t="n">
        <f aca="false">$I$394*T$1</f>
        <v>0</v>
      </c>
      <c r="U394" s="447" t="n">
        <f aca="false">$I$394*U$1</f>
        <v>0</v>
      </c>
      <c r="V394" s="447" t="n">
        <f aca="false">$I$394*V$1</f>
        <v>0</v>
      </c>
      <c r="W394" s="447" t="n">
        <f aca="false">$I$394*W$1</f>
        <v>0</v>
      </c>
      <c r="X394" s="447" t="n">
        <f aca="false">$I$394*X$1</f>
        <v>0</v>
      </c>
      <c r="Y394" s="447" t="n">
        <f aca="false">$I$394*Y$1</f>
        <v>0</v>
      </c>
    </row>
    <row r="395" customFormat="false" ht="12.75" hidden="false" customHeight="true" outlineLevel="0" collapsed="false">
      <c r="E395" s="443"/>
      <c r="F395" s="443"/>
      <c r="G395" s="370"/>
      <c r="I395" s="360" t="n">
        <f aca="false">SUM(I385:I394)</f>
        <v>291700</v>
      </c>
      <c r="N395" s="360" t="n">
        <f aca="false">SUM(N385:N394)</f>
        <v>8385500</v>
      </c>
      <c r="O395" s="360" t="n">
        <f aca="false">SUM(O385:O394)</f>
        <v>7327600</v>
      </c>
      <c r="P395" s="360" t="n">
        <f aca="false">SUM(P385:P394)</f>
        <v>8112700</v>
      </c>
      <c r="Q395" s="360" t="n">
        <f aca="false">SUM(Q385:Q394)</f>
        <v>7851000</v>
      </c>
      <c r="R395" s="360" t="n">
        <f aca="false">SUM(R385:R394)</f>
        <v>8112700</v>
      </c>
      <c r="S395" s="360" t="n">
        <f aca="false">SUM(S385:S394)</f>
        <v>7851000</v>
      </c>
      <c r="T395" s="360" t="n">
        <f aca="false">SUM(T385:T394)</f>
        <v>8112700</v>
      </c>
      <c r="U395" s="360" t="n">
        <f aca="false">SUM(U385:U394)</f>
        <v>8112700</v>
      </c>
      <c r="V395" s="360" t="n">
        <f aca="false">SUM(V385:V394)</f>
        <v>7851000</v>
      </c>
      <c r="W395" s="360" t="n">
        <f aca="false">SUM(W385:W394)</f>
        <v>8112700</v>
      </c>
      <c r="X395" s="360" t="n">
        <f aca="false">SUM(X385:X394)</f>
        <v>7851000</v>
      </c>
      <c r="Y395" s="360" t="n">
        <f aca="false">SUM(Y385:Y394)</f>
        <v>8112700</v>
      </c>
    </row>
    <row r="396" customFormat="false" ht="12.75" hidden="false" customHeight="true" outlineLevel="0" collapsed="false">
      <c r="E396" s="440"/>
      <c r="F396" s="440"/>
    </row>
    <row r="397" customFormat="false" ht="12.75" hidden="false" customHeight="true" outlineLevel="0" collapsed="false">
      <c r="A397" s="397" t="s">
        <v>414</v>
      </c>
      <c r="B397" s="398"/>
      <c r="C397" s="398"/>
      <c r="D397" s="398"/>
      <c r="E397" s="399"/>
      <c r="F397" s="398"/>
      <c r="G397" s="398"/>
      <c r="H397" s="399"/>
      <c r="I397" s="400"/>
      <c r="J397" s="398"/>
      <c r="K397" s="401"/>
      <c r="L397" s="398"/>
      <c r="M397" s="402"/>
      <c r="N397" s="403" t="n">
        <v>0.893</v>
      </c>
      <c r="O397" s="403" t="n">
        <v>1.1</v>
      </c>
      <c r="P397" s="403" t="n">
        <v>1.267</v>
      </c>
      <c r="Q397" s="403" t="n">
        <v>0.883</v>
      </c>
      <c r="R397" s="403" t="n">
        <v>0.96</v>
      </c>
      <c r="S397" s="403" t="n">
        <v>1.17</v>
      </c>
      <c r="T397" s="403" t="n">
        <v>0.7</v>
      </c>
      <c r="U397" s="403" t="n">
        <v>0.965</v>
      </c>
      <c r="V397" s="403" t="n">
        <v>0.705</v>
      </c>
      <c r="W397" s="403" t="n">
        <v>0.745</v>
      </c>
      <c r="X397" s="403" t="n">
        <v>0.925</v>
      </c>
      <c r="Y397" s="405" t="n">
        <v>1.205</v>
      </c>
    </row>
    <row r="398" customFormat="false" ht="12.75" hidden="false" customHeight="true" outlineLevel="0" collapsed="false">
      <c r="A398" s="294" t="s">
        <v>405</v>
      </c>
      <c r="B398" s="294" t="s">
        <v>415</v>
      </c>
      <c r="C398" s="294" t="s">
        <v>5</v>
      </c>
      <c r="D398" s="294" t="s">
        <v>329</v>
      </c>
      <c r="E398" s="443" t="n">
        <v>24927</v>
      </c>
      <c r="F398" s="443" t="s">
        <v>416</v>
      </c>
      <c r="H398" s="378" t="n">
        <v>38748</v>
      </c>
      <c r="I398" s="360" t="n">
        <v>30000</v>
      </c>
      <c r="K398" s="449"/>
      <c r="L398" s="449"/>
      <c r="M398" s="361" t="s">
        <v>346</v>
      </c>
      <c r="N398" s="360" t="n">
        <f aca="false">N385*N$397</f>
        <v>830490</v>
      </c>
      <c r="O398" s="360" t="n">
        <f aca="false">O385*O$397</f>
        <v>924000</v>
      </c>
      <c r="P398" s="360" t="n">
        <f aca="false">P385*P$397</f>
        <v>1178310</v>
      </c>
      <c r="Q398" s="360" t="n">
        <f aca="false">Q385*Q$397</f>
        <v>794700</v>
      </c>
      <c r="R398" s="360" t="n">
        <f aca="false">R385*R$397</f>
        <v>892800</v>
      </c>
      <c r="S398" s="360" t="n">
        <f aca="false">S385*S$397</f>
        <v>1053000</v>
      </c>
      <c r="T398" s="360" t="n">
        <f aca="false">T385*T$397</f>
        <v>651000</v>
      </c>
      <c r="U398" s="360" t="n">
        <f aca="false">U385*U$397</f>
        <v>897450</v>
      </c>
      <c r="V398" s="360" t="n">
        <f aca="false">V385*V$397</f>
        <v>634500</v>
      </c>
      <c r="W398" s="360" t="n">
        <f aca="false">W385*W$397</f>
        <v>692850</v>
      </c>
      <c r="X398" s="360" t="n">
        <f aca="false">X385*X$397</f>
        <v>832500</v>
      </c>
      <c r="Y398" s="360" t="n">
        <f aca="false">Y385*Y$397</f>
        <v>1120650</v>
      </c>
    </row>
    <row r="399" customFormat="false" ht="12.75" hidden="false" customHeight="true" outlineLevel="0" collapsed="false">
      <c r="A399" s="294" t="s">
        <v>405</v>
      </c>
      <c r="B399" s="294" t="s">
        <v>415</v>
      </c>
      <c r="C399" s="294" t="s">
        <v>5</v>
      </c>
      <c r="D399" s="294" t="s">
        <v>329</v>
      </c>
      <c r="E399" s="443" t="n">
        <v>24926</v>
      </c>
      <c r="F399" s="443" t="s">
        <v>417</v>
      </c>
      <c r="H399" s="378" t="n">
        <v>36922</v>
      </c>
      <c r="I399" s="360" t="n">
        <v>30000</v>
      </c>
      <c r="K399" s="449"/>
      <c r="L399" s="449"/>
      <c r="M399" s="361" t="s">
        <v>346</v>
      </c>
      <c r="N399" s="360" t="n">
        <f aca="false">N386*N$397</f>
        <v>830490</v>
      </c>
      <c r="O399" s="360" t="n">
        <f aca="false">O386*O$397</f>
        <v>0</v>
      </c>
      <c r="P399" s="360" t="n">
        <f aca="false">P386*P$397</f>
        <v>0</v>
      </c>
      <c r="Q399" s="360" t="n">
        <f aca="false">Q386*Q$397</f>
        <v>0</v>
      </c>
      <c r="R399" s="360" t="n">
        <f aca="false">R386*R$397</f>
        <v>0</v>
      </c>
      <c r="S399" s="360" t="n">
        <f aca="false">S386*S$397</f>
        <v>0</v>
      </c>
      <c r="T399" s="360" t="n">
        <f aca="false">T386*T$397</f>
        <v>0</v>
      </c>
      <c r="U399" s="360" t="n">
        <f aca="false">U386*U$397</f>
        <v>0</v>
      </c>
      <c r="V399" s="360" t="n">
        <f aca="false">V386*V$397</f>
        <v>0</v>
      </c>
      <c r="W399" s="360" t="n">
        <f aca="false">W386*W$397</f>
        <v>0</v>
      </c>
      <c r="X399" s="360" t="n">
        <f aca="false">X386*X$397</f>
        <v>0</v>
      </c>
      <c r="Y399" s="360" t="n">
        <f aca="false">Y386*Y$397</f>
        <v>0</v>
      </c>
    </row>
    <row r="400" customFormat="false" ht="12.75" hidden="false" customHeight="true" outlineLevel="0" collapsed="false">
      <c r="A400" s="294" t="s">
        <v>405</v>
      </c>
      <c r="B400" s="294" t="s">
        <v>415</v>
      </c>
      <c r="C400" s="294" t="s">
        <v>5</v>
      </c>
      <c r="D400" s="294" t="s">
        <v>329</v>
      </c>
      <c r="E400" s="443" t="n">
        <v>24925</v>
      </c>
      <c r="F400" s="443" t="s">
        <v>418</v>
      </c>
      <c r="H400" s="378" t="n">
        <v>38017</v>
      </c>
      <c r="I400" s="360" t="n">
        <v>50000</v>
      </c>
      <c r="K400" s="449"/>
      <c r="L400" s="449"/>
      <c r="M400" s="361" t="s">
        <v>346</v>
      </c>
      <c r="N400" s="360" t="n">
        <f aca="false">N387*N$397</f>
        <v>1384150</v>
      </c>
      <c r="O400" s="360" t="n">
        <f aca="false">O387*O$397</f>
        <v>1540000</v>
      </c>
      <c r="P400" s="360" t="n">
        <f aca="false">P387*P$397</f>
        <v>1963850</v>
      </c>
      <c r="Q400" s="360" t="n">
        <f aca="false">Q387*Q$397</f>
        <v>1324500</v>
      </c>
      <c r="R400" s="360" t="n">
        <f aca="false">R387*R$397</f>
        <v>1488000</v>
      </c>
      <c r="S400" s="360" t="n">
        <f aca="false">S387*S$397</f>
        <v>1755000</v>
      </c>
      <c r="T400" s="360" t="n">
        <f aca="false">T387*T$397</f>
        <v>1085000</v>
      </c>
      <c r="U400" s="360" t="n">
        <f aca="false">U387*U$397</f>
        <v>1495750</v>
      </c>
      <c r="V400" s="360" t="n">
        <f aca="false">V387*V$397</f>
        <v>1057500</v>
      </c>
      <c r="W400" s="360" t="n">
        <f aca="false">W387*W$397</f>
        <v>1154750</v>
      </c>
      <c r="X400" s="360" t="n">
        <f aca="false">X387*X$397</f>
        <v>1387500</v>
      </c>
      <c r="Y400" s="360" t="n">
        <f aca="false">Y387*Y$397</f>
        <v>1867750</v>
      </c>
    </row>
    <row r="401" customFormat="false" ht="12.75" hidden="false" customHeight="true" outlineLevel="0" collapsed="false">
      <c r="A401" s="370" t="s">
        <v>405</v>
      </c>
      <c r="B401" s="370" t="s">
        <v>415</v>
      </c>
      <c r="C401" s="370" t="s">
        <v>5</v>
      </c>
      <c r="D401" s="370" t="s">
        <v>329</v>
      </c>
      <c r="E401" s="450" t="n">
        <v>27370</v>
      </c>
      <c r="F401" s="450" t="s">
        <v>419</v>
      </c>
      <c r="G401" s="387" t="n">
        <v>36892</v>
      </c>
      <c r="H401" s="376" t="n">
        <v>37256</v>
      </c>
      <c r="I401" s="381" t="n">
        <v>22000</v>
      </c>
      <c r="K401" s="449"/>
      <c r="L401" s="449"/>
      <c r="N401" s="360" t="n">
        <f aca="false">N388*N$397</f>
        <v>609026</v>
      </c>
      <c r="O401" s="373" t="n">
        <f aca="false">O388*O$397</f>
        <v>677600</v>
      </c>
      <c r="P401" s="373" t="n">
        <f aca="false">P388*P$397</f>
        <v>864094</v>
      </c>
      <c r="Q401" s="373" t="n">
        <f aca="false">Q388*Q$397</f>
        <v>582780</v>
      </c>
      <c r="R401" s="373" t="n">
        <f aca="false">R388*R$397</f>
        <v>654720</v>
      </c>
      <c r="S401" s="373" t="n">
        <f aca="false">S388*S$397</f>
        <v>772200</v>
      </c>
      <c r="T401" s="373" t="n">
        <f aca="false">T388*T$397</f>
        <v>477400</v>
      </c>
      <c r="U401" s="373" t="n">
        <f aca="false">U388*U$397</f>
        <v>658130</v>
      </c>
      <c r="V401" s="373" t="n">
        <f aca="false">V388*V$397</f>
        <v>465300</v>
      </c>
      <c r="W401" s="373" t="n">
        <f aca="false">W388*W$397</f>
        <v>508090</v>
      </c>
      <c r="X401" s="373" t="n">
        <f aca="false">X388*X$397</f>
        <v>610500</v>
      </c>
      <c r="Y401" s="373" t="n">
        <f aca="false">Y388*Y$397</f>
        <v>821810</v>
      </c>
    </row>
    <row r="402" customFormat="false" ht="12.75" hidden="false" customHeight="true" outlineLevel="0" collapsed="false">
      <c r="A402" s="370" t="s">
        <v>405</v>
      </c>
      <c r="B402" s="370" t="s">
        <v>415</v>
      </c>
      <c r="C402" s="370" t="s">
        <v>5</v>
      </c>
      <c r="D402" s="370" t="s">
        <v>329</v>
      </c>
      <c r="E402" s="450" t="n">
        <v>27371</v>
      </c>
      <c r="F402" s="450" t="s">
        <v>419</v>
      </c>
      <c r="G402" s="387" t="n">
        <v>36923</v>
      </c>
      <c r="H402" s="376" t="n">
        <v>37256</v>
      </c>
      <c r="I402" s="381" t="n">
        <v>21200</v>
      </c>
      <c r="K402" s="449"/>
      <c r="L402" s="449"/>
      <c r="N402" s="360" t="n">
        <f aca="false">N389*N$397</f>
        <v>0</v>
      </c>
      <c r="O402" s="373" t="n">
        <f aca="false">O389*O$397</f>
        <v>652960</v>
      </c>
      <c r="P402" s="373" t="n">
        <f aca="false">P389*P$397</f>
        <v>832672.4</v>
      </c>
      <c r="Q402" s="373" t="n">
        <f aca="false">Q389*Q$397</f>
        <v>561588</v>
      </c>
      <c r="R402" s="373" t="n">
        <f aca="false">R389*R$397</f>
        <v>630912</v>
      </c>
      <c r="S402" s="373" t="n">
        <f aca="false">S389*S$397</f>
        <v>744120</v>
      </c>
      <c r="T402" s="373" t="n">
        <f aca="false">T389*T$397</f>
        <v>460040</v>
      </c>
      <c r="U402" s="373" t="n">
        <f aca="false">U389*U$397</f>
        <v>634198</v>
      </c>
      <c r="V402" s="373" t="n">
        <f aca="false">V389*V$397</f>
        <v>448380</v>
      </c>
      <c r="W402" s="373" t="n">
        <f aca="false">W389*W$397</f>
        <v>489614</v>
      </c>
      <c r="X402" s="373" t="n">
        <f aca="false">X389*X$397</f>
        <v>588300</v>
      </c>
      <c r="Y402" s="373" t="n">
        <f aca="false">Y389*Y$397</f>
        <v>791926</v>
      </c>
    </row>
    <row r="403" customFormat="false" ht="12.75" hidden="false" customHeight="true" outlineLevel="0" collapsed="false">
      <c r="A403" s="370" t="s">
        <v>405</v>
      </c>
      <c r="B403" s="370" t="s">
        <v>415</v>
      </c>
      <c r="C403" s="370" t="s">
        <v>5</v>
      </c>
      <c r="D403" s="370" t="s">
        <v>329</v>
      </c>
      <c r="E403" s="451"/>
      <c r="F403" s="451" t="s">
        <v>420</v>
      </c>
      <c r="G403" s="370" t="s">
        <v>413</v>
      </c>
      <c r="H403" s="372"/>
      <c r="I403" s="373"/>
      <c r="K403" s="449"/>
      <c r="L403" s="449"/>
      <c r="N403" s="373" t="n">
        <f aca="false">N390*N$397</f>
        <v>0</v>
      </c>
      <c r="O403" s="373" t="n">
        <f aca="false">O390*O$397</f>
        <v>0</v>
      </c>
      <c r="P403" s="373" t="n">
        <f aca="false">P390*P$397</f>
        <v>0</v>
      </c>
      <c r="Q403" s="373" t="n">
        <f aca="false">Q390*Q$397</f>
        <v>0</v>
      </c>
      <c r="R403" s="373" t="n">
        <f aca="false">R390*R$397</f>
        <v>0</v>
      </c>
      <c r="S403" s="373" t="n">
        <f aca="false">S390*S$397</f>
        <v>0</v>
      </c>
      <c r="T403" s="373" t="n">
        <f aca="false">T390*T$397</f>
        <v>0</v>
      </c>
      <c r="U403" s="373" t="n">
        <f aca="false">U390*U$397</f>
        <v>0</v>
      </c>
      <c r="V403" s="373" t="n">
        <f aca="false">V390*V$397</f>
        <v>0</v>
      </c>
      <c r="W403" s="373" t="n">
        <f aca="false">W390*W$397</f>
        <v>0</v>
      </c>
      <c r="X403" s="373" t="n">
        <f aca="false">X390*X$397</f>
        <v>0</v>
      </c>
      <c r="Y403" s="373" t="n">
        <f aca="false">Y390*Y$397</f>
        <v>0</v>
      </c>
    </row>
    <row r="404" customFormat="false" ht="12.75" hidden="false" customHeight="true" outlineLevel="0" collapsed="false">
      <c r="A404" s="370" t="s">
        <v>405</v>
      </c>
      <c r="B404" s="383" t="s">
        <v>415</v>
      </c>
      <c r="C404" s="383" t="s">
        <v>5</v>
      </c>
      <c r="D404" s="383" t="s">
        <v>329</v>
      </c>
      <c r="E404" s="452" t="n">
        <v>25569</v>
      </c>
      <c r="F404" s="452" t="s">
        <v>372</v>
      </c>
      <c r="G404" s="380" t="s">
        <v>421</v>
      </c>
      <c r="H404" s="376" t="n">
        <v>37621</v>
      </c>
      <c r="I404" s="310" t="n">
        <v>13500</v>
      </c>
      <c r="J404" s="383"/>
      <c r="K404" s="453"/>
      <c r="L404" s="453"/>
      <c r="M404" s="386"/>
      <c r="N404" s="310" t="n">
        <f aca="false">N391*N$397</f>
        <v>373720.5</v>
      </c>
      <c r="O404" s="310" t="n">
        <f aca="false">O391*O$397</f>
        <v>415800</v>
      </c>
      <c r="P404" s="310" t="n">
        <f aca="false">P391*P$397</f>
        <v>530239.5</v>
      </c>
      <c r="Q404" s="310" t="n">
        <f aca="false">Q391*Q$397</f>
        <v>357615</v>
      </c>
      <c r="R404" s="310" t="n">
        <f aca="false">R391*R$397</f>
        <v>401760</v>
      </c>
      <c r="S404" s="310" t="n">
        <f aca="false">S391*S$397</f>
        <v>473850</v>
      </c>
      <c r="T404" s="310" t="n">
        <f aca="false">T391*T$397</f>
        <v>292950</v>
      </c>
      <c r="U404" s="310" t="n">
        <f aca="false">U391*U$397</f>
        <v>403852.5</v>
      </c>
      <c r="V404" s="310" t="n">
        <f aca="false">V391*V$397</f>
        <v>285525</v>
      </c>
      <c r="W404" s="310" t="n">
        <f aca="false">W391*W$397</f>
        <v>311782.5</v>
      </c>
      <c r="X404" s="310" t="n">
        <f aca="false">X391*X$397</f>
        <v>374625</v>
      </c>
      <c r="Y404" s="310" t="n">
        <f aca="false">Y391*Y$397</f>
        <v>504292.5</v>
      </c>
    </row>
    <row r="405" customFormat="false" ht="12.75" hidden="false" customHeight="true" outlineLevel="0" collapsed="false">
      <c r="A405" s="383" t="s">
        <v>405</v>
      </c>
      <c r="B405" s="383" t="s">
        <v>415</v>
      </c>
      <c r="C405" s="383" t="s">
        <v>5</v>
      </c>
      <c r="D405" s="383" t="s">
        <v>329</v>
      </c>
      <c r="E405" s="454" t="n">
        <v>27047</v>
      </c>
      <c r="F405" s="383" t="s">
        <v>422</v>
      </c>
      <c r="G405" s="380" t="s">
        <v>421</v>
      </c>
      <c r="H405" s="376" t="n">
        <v>38717</v>
      </c>
      <c r="I405" s="310" t="n">
        <v>125000</v>
      </c>
      <c r="J405" s="383"/>
      <c r="K405" s="385"/>
      <c r="L405" s="383"/>
      <c r="M405" s="386"/>
      <c r="N405" s="310" t="n">
        <f aca="false">N392*N$397</f>
        <v>3460375</v>
      </c>
      <c r="O405" s="310" t="n">
        <f aca="false">O392*O$397</f>
        <v>3850000</v>
      </c>
      <c r="P405" s="310" t="n">
        <f aca="false">P392*P$397</f>
        <v>4909625</v>
      </c>
      <c r="Q405" s="310" t="n">
        <f aca="false">Q392*Q$397</f>
        <v>3311250</v>
      </c>
      <c r="R405" s="310" t="n">
        <f aca="false">R392*R$397</f>
        <v>3720000</v>
      </c>
      <c r="S405" s="310" t="n">
        <f aca="false">S392*S$397</f>
        <v>4387500</v>
      </c>
      <c r="T405" s="310" t="n">
        <f aca="false">T392*T$397</f>
        <v>2712500</v>
      </c>
      <c r="U405" s="310" t="n">
        <f aca="false">U392*U$397</f>
        <v>3739375</v>
      </c>
      <c r="V405" s="310" t="n">
        <f aca="false">V392*V$397</f>
        <v>2643750</v>
      </c>
      <c r="W405" s="310" t="n">
        <f aca="false">W392*W$397</f>
        <v>2886875</v>
      </c>
      <c r="X405" s="310" t="n">
        <f aca="false">X392*X$397</f>
        <v>3468750</v>
      </c>
      <c r="Y405" s="310" t="n">
        <f aca="false">Y392*Y$397</f>
        <v>4669375</v>
      </c>
    </row>
    <row r="406" customFormat="false" ht="12.75" hidden="false" customHeight="true" outlineLevel="0" collapsed="false">
      <c r="A406" s="370"/>
      <c r="B406" s="370"/>
      <c r="C406" s="370"/>
      <c r="D406" s="370"/>
      <c r="E406" s="446"/>
      <c r="F406" s="370"/>
      <c r="G406" s="370"/>
      <c r="H406" s="414"/>
      <c r="I406" s="373"/>
      <c r="N406" s="373" t="n">
        <f aca="false">N393*N$397</f>
        <v>0</v>
      </c>
      <c r="O406" s="373" t="n">
        <f aca="false">O393*O$397</f>
        <v>0</v>
      </c>
      <c r="P406" s="373" t="n">
        <f aca="false">P393*P$397</f>
        <v>0</v>
      </c>
      <c r="Q406" s="373" t="n">
        <f aca="false">Q393*Q$397</f>
        <v>0</v>
      </c>
      <c r="R406" s="373" t="n">
        <f aca="false">R393*R$397</f>
        <v>0</v>
      </c>
      <c r="S406" s="373" t="n">
        <f aca="false">S393*S$397</f>
        <v>0</v>
      </c>
      <c r="T406" s="373" t="n">
        <f aca="false">T393*T$397</f>
        <v>0</v>
      </c>
      <c r="U406" s="373" t="n">
        <f aca="false">U393*U$397</f>
        <v>0</v>
      </c>
      <c r="V406" s="373" t="n">
        <f aca="false">V393*V$397</f>
        <v>0</v>
      </c>
      <c r="W406" s="373" t="n">
        <f aca="false">W393*W$397</f>
        <v>0</v>
      </c>
      <c r="X406" s="373" t="n">
        <f aca="false">X393*X$397</f>
        <v>0</v>
      </c>
      <c r="Y406" s="373" t="n">
        <f aca="false">Y393*Y$397</f>
        <v>0</v>
      </c>
    </row>
    <row r="407" customFormat="false" ht="12.75" hidden="false" customHeight="true" outlineLevel="0" collapsed="false">
      <c r="A407" s="370"/>
      <c r="B407" s="370"/>
      <c r="C407" s="370"/>
      <c r="D407" s="370"/>
      <c r="E407" s="455"/>
      <c r="F407" s="370"/>
      <c r="G407" s="370"/>
      <c r="H407" s="414"/>
      <c r="I407" s="447"/>
      <c r="N407" s="447" t="n">
        <f aca="false">N394*N$397</f>
        <v>0</v>
      </c>
      <c r="O407" s="447" t="n">
        <f aca="false">O394*O$397</f>
        <v>0</v>
      </c>
      <c r="P407" s="447" t="n">
        <f aca="false">P394*P$397</f>
        <v>0</v>
      </c>
      <c r="Q407" s="447" t="n">
        <f aca="false">Q394*Q$397</f>
        <v>0</v>
      </c>
      <c r="R407" s="447" t="n">
        <f aca="false">R394*R$397</f>
        <v>0</v>
      </c>
      <c r="S407" s="447" t="n">
        <f aca="false">S394*S$397</f>
        <v>0</v>
      </c>
      <c r="T407" s="447" t="n">
        <f aca="false">T394*T$397</f>
        <v>0</v>
      </c>
      <c r="U407" s="447" t="n">
        <f aca="false">U394*U$397</f>
        <v>0</v>
      </c>
      <c r="V407" s="447" t="n">
        <f aca="false">V394*V$397</f>
        <v>0</v>
      </c>
      <c r="W407" s="447" t="n">
        <f aca="false">W394*W$397</f>
        <v>0</v>
      </c>
      <c r="X407" s="447" t="n">
        <f aca="false">X394*X$397</f>
        <v>0</v>
      </c>
      <c r="Y407" s="447" t="n">
        <f aca="false">Y394*Y$397</f>
        <v>0</v>
      </c>
    </row>
    <row r="408" customFormat="false" ht="12.75" hidden="false" customHeight="true" outlineLevel="0" collapsed="false">
      <c r="I408" s="360" t="n">
        <f aca="false">SUM(I398:I407)</f>
        <v>291700</v>
      </c>
      <c r="N408" s="360" t="n">
        <f aca="false">SUM(N398:N407)</f>
        <v>7488251.5</v>
      </c>
      <c r="O408" s="360" t="n">
        <f aca="false">SUM(O398:O407)</f>
        <v>8060360</v>
      </c>
      <c r="P408" s="360" t="n">
        <f aca="false">SUM(P398:P407)</f>
        <v>10278790.9</v>
      </c>
      <c r="Q408" s="360" t="n">
        <f aca="false">SUM(Q398:Q407)</f>
        <v>6932433</v>
      </c>
      <c r="R408" s="360" t="n">
        <f aca="false">SUM(R398:R407)</f>
        <v>7788192</v>
      </c>
      <c r="S408" s="360" t="n">
        <f aca="false">SUM(S398:S407)</f>
        <v>9185670</v>
      </c>
      <c r="T408" s="360" t="n">
        <f aca="false">SUM(T398:T407)</f>
        <v>5678890</v>
      </c>
      <c r="U408" s="360" t="n">
        <f aca="false">SUM(U398:U407)</f>
        <v>7828755.5</v>
      </c>
      <c r="V408" s="360" t="n">
        <f aca="false">SUM(V398:V407)</f>
        <v>5534955</v>
      </c>
      <c r="W408" s="360" t="n">
        <f aca="false">SUM(W398:W407)</f>
        <v>6043961.5</v>
      </c>
      <c r="X408" s="360" t="n">
        <f aca="false">SUM(X398:X407)</f>
        <v>7262175</v>
      </c>
      <c r="Y408" s="360" t="n">
        <f aca="false">SUM(Y398:Y407)</f>
        <v>9775803.5</v>
      </c>
    </row>
    <row r="411" customFormat="false" ht="12.75" hidden="false" customHeight="true" outlineLevel="0" collapsed="false">
      <c r="A411" s="294" t="s">
        <v>405</v>
      </c>
      <c r="B411" s="294" t="s">
        <v>415</v>
      </c>
      <c r="C411" s="294" t="s">
        <v>6</v>
      </c>
      <c r="D411" s="294" t="s">
        <v>332</v>
      </c>
      <c r="E411" s="443" t="n">
        <v>24927</v>
      </c>
      <c r="F411" s="443" t="s">
        <v>416</v>
      </c>
      <c r="H411" s="378" t="n">
        <v>38748</v>
      </c>
      <c r="K411" s="449" t="n">
        <v>0.0367</v>
      </c>
      <c r="L411" s="449" t="n">
        <v>0.0033</v>
      </c>
      <c r="M411" s="361" t="s">
        <v>346</v>
      </c>
      <c r="N411" s="360" t="n">
        <f aca="false">N385*($K411+$L411)-N424</f>
        <v>34459.383</v>
      </c>
      <c r="O411" s="360" t="n">
        <f aca="false">O385*(0.0317+$L411)-O424</f>
        <v>26350.8</v>
      </c>
      <c r="P411" s="360" t="n">
        <f aca="false">P385*(0.0317+$L411)-P424</f>
        <v>28661.577</v>
      </c>
      <c r="Q411" s="360" t="n">
        <f aca="false">Q385*(0.0367+$L411)-Q424</f>
        <v>33377.49</v>
      </c>
      <c r="R411" s="360" t="n">
        <f aca="false">R385*(0.0367+$L411)-R424</f>
        <v>34253.76</v>
      </c>
      <c r="S411" s="360" t="n">
        <f aca="false">S385*(0.0367+$L411)-S424</f>
        <v>32525.1</v>
      </c>
      <c r="T411" s="360" t="n">
        <f aca="false">T385*(0.0367+$L411)-T424</f>
        <v>35051.7</v>
      </c>
      <c r="U411" s="360" t="n">
        <f aca="false">U385*(0.0367+$L411)-U424</f>
        <v>34238.415</v>
      </c>
      <c r="V411" s="360" t="n">
        <f aca="false">V385*(0.0367+$L411)-V424</f>
        <v>33906.15</v>
      </c>
      <c r="W411" s="360" t="n">
        <f aca="false">W385*(0.0367+$L411)-W424</f>
        <v>34913.595</v>
      </c>
      <c r="X411" s="360" t="n">
        <f aca="false">X385*(0.0317+$L411)-X424</f>
        <v>28752.75</v>
      </c>
      <c r="Y411" s="360" t="n">
        <f aca="false">Y385*(0.0317+$L411)-Y424</f>
        <v>28851.855</v>
      </c>
    </row>
    <row r="412" customFormat="false" ht="12.75" hidden="false" customHeight="true" outlineLevel="0" collapsed="false">
      <c r="A412" s="294" t="s">
        <v>405</v>
      </c>
      <c r="B412" s="294" t="s">
        <v>415</v>
      </c>
      <c r="C412" s="294" t="s">
        <v>6</v>
      </c>
      <c r="D412" s="294" t="s">
        <v>332</v>
      </c>
      <c r="E412" s="443" t="n">
        <v>24926</v>
      </c>
      <c r="F412" s="443" t="s">
        <v>417</v>
      </c>
      <c r="H412" s="378" t="n">
        <v>36922</v>
      </c>
      <c r="K412" s="449" t="n">
        <v>0.0567</v>
      </c>
      <c r="L412" s="449" t="n">
        <v>0.0033</v>
      </c>
      <c r="M412" s="361" t="s">
        <v>346</v>
      </c>
      <c r="N412" s="360" t="n">
        <f aca="false">N386*($K412+$L412)-N425</f>
        <v>53059.383</v>
      </c>
      <c r="O412" s="360" t="n">
        <f aca="false">O386*($K412+$L412)-O425</f>
        <v>0</v>
      </c>
      <c r="P412" s="360" t="n">
        <f aca="false">P386*($K412+$L412)-P425</f>
        <v>0</v>
      </c>
      <c r="Q412" s="360" t="n">
        <f aca="false">Q386*($K412+$L412)-Q425</f>
        <v>0</v>
      </c>
      <c r="R412" s="360" t="n">
        <f aca="false">R386*($K412+$L412)-R425</f>
        <v>0</v>
      </c>
      <c r="S412" s="360" t="n">
        <f aca="false">S386*($K412+$L412)-S425</f>
        <v>0</v>
      </c>
      <c r="T412" s="360" t="n">
        <f aca="false">T386*($K412+$L412)-T425</f>
        <v>0</v>
      </c>
      <c r="U412" s="360" t="n">
        <f aca="false">U386*($K412+$L412)-U425</f>
        <v>0</v>
      </c>
      <c r="V412" s="360" t="n">
        <f aca="false">V386*($K412+$L412)-V425</f>
        <v>0</v>
      </c>
      <c r="W412" s="360" t="n">
        <f aca="false">W386*($K412+$L412)-W425</f>
        <v>0</v>
      </c>
      <c r="X412" s="360" t="n">
        <f aca="false">X386*($K412+$L412)-X425</f>
        <v>0</v>
      </c>
      <c r="Y412" s="360" t="n">
        <f aca="false">Y386*($K412+$L412)-Y425</f>
        <v>0</v>
      </c>
    </row>
    <row r="413" customFormat="false" ht="12.75" hidden="false" customHeight="true" outlineLevel="0" collapsed="false">
      <c r="A413" s="294" t="s">
        <v>405</v>
      </c>
      <c r="B413" s="294" t="s">
        <v>415</v>
      </c>
      <c r="C413" s="294" t="s">
        <v>6</v>
      </c>
      <c r="D413" s="294" t="s">
        <v>332</v>
      </c>
      <c r="E413" s="443" t="n">
        <v>24925</v>
      </c>
      <c r="F413" s="443" t="s">
        <v>418</v>
      </c>
      <c r="H413" s="378" t="n">
        <v>38017</v>
      </c>
      <c r="K413" s="449" t="n">
        <v>0.0567</v>
      </c>
      <c r="L413" s="449" t="n">
        <v>0.0033</v>
      </c>
      <c r="M413" s="361" t="s">
        <v>346</v>
      </c>
      <c r="N413" s="360" t="n">
        <f aca="false">N387*($K413+$L413)-N426</f>
        <v>88432.305</v>
      </c>
      <c r="O413" s="360" t="n">
        <f aca="false">O387*($K413+$L413)-O426</f>
        <v>78918</v>
      </c>
      <c r="P413" s="360" t="n">
        <f aca="false">P387*($K413+$L413)-P426</f>
        <v>86519.295</v>
      </c>
      <c r="Q413" s="360" t="n">
        <f aca="false">Q387*($K413+$L413)-Q426</f>
        <v>85629.15</v>
      </c>
      <c r="R413" s="360" t="n">
        <f aca="false">R387*($K413+$L413)-R426</f>
        <v>88089.6</v>
      </c>
      <c r="S413" s="360" t="n">
        <f aca="false">S387*($K413+$L413)-S426</f>
        <v>84208.5</v>
      </c>
      <c r="T413" s="360" t="n">
        <f aca="false">T387*($K413+$L413)-T426</f>
        <v>89419.5</v>
      </c>
      <c r="U413" s="360" t="n">
        <f aca="false">U387*($K413+$L413)-U426</f>
        <v>88064.025</v>
      </c>
      <c r="V413" s="360" t="n">
        <f aca="false">V387*($K413+$L413)-V426</f>
        <v>86510.25</v>
      </c>
      <c r="W413" s="360" t="n">
        <f aca="false">W387*($K413+$L413)-W426</f>
        <v>89189.325</v>
      </c>
      <c r="X413" s="360" t="n">
        <f aca="false">X387*($K413+$L413)-X426</f>
        <v>85421.25</v>
      </c>
      <c r="Y413" s="360" t="n">
        <f aca="false">Y387*($K413+$L413)-Y426</f>
        <v>86836.425</v>
      </c>
    </row>
    <row r="414" customFormat="false" ht="12.75" hidden="false" customHeight="true" outlineLevel="0" collapsed="false">
      <c r="A414" s="370" t="s">
        <v>405</v>
      </c>
      <c r="B414" s="370" t="s">
        <v>415</v>
      </c>
      <c r="C414" s="370" t="s">
        <v>6</v>
      </c>
      <c r="D414" s="370" t="s">
        <v>332</v>
      </c>
      <c r="E414" s="450" t="n">
        <v>27370</v>
      </c>
      <c r="F414" s="450" t="s">
        <v>419</v>
      </c>
      <c r="G414" s="380"/>
      <c r="H414" s="376" t="n">
        <v>37256</v>
      </c>
      <c r="K414" s="456" t="n">
        <v>0.0667</v>
      </c>
      <c r="L414" s="456" t="n">
        <v>0.0033</v>
      </c>
      <c r="N414" s="373" t="n">
        <f aca="false">N388*($K414+$L414)-N427</f>
        <v>45730.2142</v>
      </c>
      <c r="O414" s="373" t="n">
        <f aca="false">O388*($K414+$L414)-O427</f>
        <v>40883.92</v>
      </c>
      <c r="P414" s="373" t="n">
        <f aca="false">P388*($K414+$L414)-P427</f>
        <v>44888.4898</v>
      </c>
      <c r="Q414" s="373" t="n">
        <f aca="false">Q388*($K414+$L414)-Q427</f>
        <v>44276.826</v>
      </c>
      <c r="R414" s="373" t="n">
        <f aca="false">R388*($K414+$L414)-R427</f>
        <v>45579.424</v>
      </c>
      <c r="S414" s="373" t="n">
        <f aca="false">S388*($K414+$L414)-S427</f>
        <v>43651.74</v>
      </c>
      <c r="T414" s="373" t="n">
        <f aca="false">T388*($K414+$L414)-T427</f>
        <v>46164.58</v>
      </c>
      <c r="U414" s="373" t="n">
        <f aca="false">U388*($K414+$L414)-U427</f>
        <v>45568.171</v>
      </c>
      <c r="V414" s="373" t="n">
        <f aca="false">V388*($K414+$L414)-V427</f>
        <v>44664.51</v>
      </c>
      <c r="W414" s="373" t="n">
        <f aca="false">W388*($K414+$L414)-W427</f>
        <v>46063.303</v>
      </c>
      <c r="X414" s="373" t="n">
        <f aca="false">X388*($K414+$L414)-X427</f>
        <v>44185.35</v>
      </c>
      <c r="Y414" s="373" t="n">
        <f aca="false">Y388*($K414+$L414)-Y427</f>
        <v>45028.027</v>
      </c>
      <c r="AC414" s="417" t="n">
        <f aca="false">SUM(N414:Y414)</f>
        <v>536684.555</v>
      </c>
    </row>
    <row r="415" customFormat="false" ht="12.75" hidden="false" customHeight="true" outlineLevel="0" collapsed="false">
      <c r="A415" s="370" t="s">
        <v>405</v>
      </c>
      <c r="B415" s="370" t="s">
        <v>415</v>
      </c>
      <c r="C415" s="370" t="s">
        <v>5</v>
      </c>
      <c r="D415" s="370" t="s">
        <v>329</v>
      </c>
      <c r="E415" s="450" t="n">
        <v>27371</v>
      </c>
      <c r="F415" s="450" t="s">
        <v>419</v>
      </c>
      <c r="G415" s="380"/>
      <c r="H415" s="376" t="n">
        <v>37256</v>
      </c>
      <c r="K415" s="456" t="n">
        <v>0.0417</v>
      </c>
      <c r="L415" s="456" t="n">
        <v>0.0033</v>
      </c>
      <c r="O415" s="373" t="n">
        <f aca="false">O389*($K415+$L415)-O428</f>
        <v>24557.232</v>
      </c>
      <c r="P415" s="373" t="n">
        <f aca="false">P389*($K415+$L415)-P428</f>
        <v>26826.18108</v>
      </c>
      <c r="Q415" s="373" t="n">
        <f aca="false">Q389*($K415+$L415)-Q428</f>
        <v>26766.7596</v>
      </c>
      <c r="R415" s="373" t="n">
        <f aca="false">R389*($K415+$L415)-R428</f>
        <v>27491.9904</v>
      </c>
      <c r="S415" s="373" t="n">
        <f aca="false">S389*($K415+$L415)-S428</f>
        <v>26164.404</v>
      </c>
      <c r="T415" s="373" t="n">
        <f aca="false">T389*($K415+$L415)-T428</f>
        <v>28055.868</v>
      </c>
      <c r="U415" s="373" t="n">
        <f aca="false">U389*($K415+$L415)-U428</f>
        <v>27481.1466</v>
      </c>
      <c r="V415" s="373" t="n">
        <f aca="false">V389*($K415+$L415)-V428</f>
        <v>27140.346</v>
      </c>
      <c r="W415" s="373" t="n">
        <f aca="false">W389*($K415+$L415)-W428</f>
        <v>27958.2738</v>
      </c>
      <c r="X415" s="373" t="n">
        <f aca="false">X389*($K415+$L415)-X428</f>
        <v>26678.61</v>
      </c>
      <c r="Y415" s="373" t="n">
        <f aca="false">Y389*($K415+$L415)-Y428</f>
        <v>26960.6442</v>
      </c>
      <c r="AC415" s="417" t="n">
        <f aca="false">SUM(N415:Y415)</f>
        <v>296081.45568</v>
      </c>
    </row>
    <row r="416" customFormat="false" ht="12.75" hidden="false" customHeight="true" outlineLevel="0" collapsed="false">
      <c r="A416" s="370" t="s">
        <v>405</v>
      </c>
      <c r="B416" s="370" t="s">
        <v>415</v>
      </c>
      <c r="C416" s="370" t="s">
        <v>5</v>
      </c>
      <c r="D416" s="370" t="s">
        <v>329</v>
      </c>
      <c r="E416" s="451"/>
      <c r="F416" s="451" t="s">
        <v>420</v>
      </c>
      <c r="G416" s="370" t="s">
        <v>413</v>
      </c>
      <c r="H416" s="372"/>
      <c r="K416" s="457" t="n">
        <v>0.0167</v>
      </c>
      <c r="L416" s="457" t="n">
        <v>0.0033</v>
      </c>
      <c r="N416" s="373" t="n">
        <f aca="false">N390*($K416+$L416)-N429</f>
        <v>0</v>
      </c>
      <c r="O416" s="373" t="n">
        <f aca="false">O390*($K416+$L416)-O429</f>
        <v>0</v>
      </c>
      <c r="P416" s="373" t="n">
        <f aca="false">P390*($K416+$L416)-P429</f>
        <v>0</v>
      </c>
      <c r="Q416" s="373" t="n">
        <f aca="false">Q390*($K416+$L416)-Q429</f>
        <v>0</v>
      </c>
      <c r="R416" s="373" t="n">
        <f aca="false">R390*($K416+$L416)-R429</f>
        <v>0</v>
      </c>
      <c r="S416" s="373" t="n">
        <f aca="false">S390*($K416+$L416)-S429</f>
        <v>0</v>
      </c>
      <c r="T416" s="373" t="n">
        <f aca="false">T390*($K416+$L416)-T429</f>
        <v>0</v>
      </c>
      <c r="U416" s="373" t="n">
        <f aca="false">U390*($K416+$L416)-U429</f>
        <v>0</v>
      </c>
      <c r="V416" s="373" t="n">
        <f aca="false">V390*($K416+$L416)-V429</f>
        <v>0</v>
      </c>
      <c r="W416" s="373" t="n">
        <f aca="false">W390*($K416+$L416)-W429</f>
        <v>0</v>
      </c>
      <c r="X416" s="373" t="n">
        <f aca="false">X390*($K416+$L416)-X429</f>
        <v>0</v>
      </c>
      <c r="Y416" s="373" t="n">
        <f aca="false">Y390*($K416+$L416)-Y429</f>
        <v>0</v>
      </c>
      <c r="AC416" s="417" t="n">
        <f aca="false">SUM(N416:Y416)</f>
        <v>0</v>
      </c>
    </row>
    <row r="417" customFormat="false" ht="12.75" hidden="false" customHeight="true" outlineLevel="0" collapsed="false">
      <c r="A417" s="383" t="s">
        <v>405</v>
      </c>
      <c r="B417" s="383" t="s">
        <v>415</v>
      </c>
      <c r="C417" s="383" t="s">
        <v>6</v>
      </c>
      <c r="D417" s="383" t="s">
        <v>332</v>
      </c>
      <c r="E417" s="452" t="n">
        <v>25569</v>
      </c>
      <c r="F417" s="452" t="s">
        <v>372</v>
      </c>
      <c r="G417" s="380" t="s">
        <v>421</v>
      </c>
      <c r="H417" s="376" t="n">
        <v>37621</v>
      </c>
      <c r="I417" s="310"/>
      <c r="J417" s="383"/>
      <c r="K417" s="456" t="n">
        <v>0.0417</v>
      </c>
      <c r="L417" s="456" t="n">
        <v>0.0033</v>
      </c>
      <c r="M417" s="386"/>
      <c r="N417" s="310" t="n">
        <f aca="false">N391*($K417+$L417)-N430</f>
        <v>17599.22235</v>
      </c>
      <c r="O417" s="310" t="n">
        <f aca="false">O391*($K417+$L417)-O430</f>
        <v>15637.86</v>
      </c>
      <c r="P417" s="310" t="n">
        <f aca="false">P391*($K417+$L417)-P430</f>
        <v>17082.70965</v>
      </c>
      <c r="Q417" s="310" t="n">
        <f aca="false">Q391*($K417+$L417)-Q430</f>
        <v>17044.8705</v>
      </c>
      <c r="R417" s="310" t="n">
        <f aca="false">R391*($K417+$L417)-R430</f>
        <v>17506.692</v>
      </c>
      <c r="S417" s="310" t="n">
        <f aca="false">S391*($K417+$L417)-S430</f>
        <v>16661.295</v>
      </c>
      <c r="T417" s="310" t="n">
        <f aca="false">T391*($K417+$L417)-T430</f>
        <v>17865.765</v>
      </c>
      <c r="U417" s="310" t="n">
        <f aca="false">U391*($K417+$L417)-U430</f>
        <v>17499.78675</v>
      </c>
      <c r="V417" s="310" t="n">
        <f aca="false">V391*($K417+$L417)-V430</f>
        <v>17282.7675</v>
      </c>
      <c r="W417" s="310" t="n">
        <f aca="false">W391*($K417+$L417)-W430</f>
        <v>17803.61775</v>
      </c>
      <c r="X417" s="310" t="n">
        <f aca="false">X391*($K417+$L417)-X430</f>
        <v>16988.7375</v>
      </c>
      <c r="Y417" s="310" t="n">
        <f aca="false">Y391*($K417+$L417)-Y430</f>
        <v>17168.33475</v>
      </c>
      <c r="AC417" s="417" t="n">
        <f aca="false">SUM(N417:Y417)</f>
        <v>206141.65875</v>
      </c>
    </row>
    <row r="418" customFormat="false" ht="12.75" hidden="false" customHeight="true" outlineLevel="0" collapsed="false">
      <c r="A418" s="383" t="s">
        <v>405</v>
      </c>
      <c r="B418" s="383" t="s">
        <v>415</v>
      </c>
      <c r="C418" s="383" t="s">
        <v>6</v>
      </c>
      <c r="D418" s="383" t="s">
        <v>332</v>
      </c>
      <c r="E418" s="454" t="n">
        <v>27047</v>
      </c>
      <c r="F418" s="383" t="s">
        <v>422</v>
      </c>
      <c r="G418" s="380" t="s">
        <v>421</v>
      </c>
      <c r="H418" s="376" t="n">
        <v>38717</v>
      </c>
      <c r="I418" s="310"/>
      <c r="J418" s="383"/>
      <c r="K418" s="458" t="n">
        <v>0.0177</v>
      </c>
      <c r="L418" s="458" t="n">
        <v>0.0033</v>
      </c>
      <c r="M418" s="386"/>
      <c r="N418" s="310" t="n">
        <f aca="false">N392*($K418+$L418)-N431</f>
        <v>69955.7625</v>
      </c>
      <c r="O418" s="310" t="n">
        <f aca="false">O392*($K418+$L418)-O431</f>
        <v>60795</v>
      </c>
      <c r="P418" s="310" t="n">
        <f aca="false">P392*($K418+$L418)-P431</f>
        <v>65173.2375</v>
      </c>
      <c r="Q418" s="310" t="n">
        <f aca="false">Q392*($K418+$L418)-Q431</f>
        <v>67822.875</v>
      </c>
      <c r="R418" s="310" t="n">
        <f aca="false">R392*($K418+$L418)-R431</f>
        <v>69099</v>
      </c>
      <c r="S418" s="310" t="n">
        <f aca="false">S392*($K418+$L418)-S431</f>
        <v>64271.25</v>
      </c>
      <c r="T418" s="310" t="n">
        <f aca="false">T392*($K418+$L418)-T431</f>
        <v>72423.75</v>
      </c>
      <c r="U418" s="310" t="n">
        <f aca="false">U392*($K418+$L418)-U431</f>
        <v>69035.0625</v>
      </c>
      <c r="V418" s="310" t="n">
        <f aca="false">V392*($K418+$L418)-V431</f>
        <v>70025.625</v>
      </c>
      <c r="W418" s="310" t="n">
        <f aca="false">W392*($K418+$L418)-W431</f>
        <v>71848.3125</v>
      </c>
      <c r="X418" s="310" t="n">
        <f aca="false">X392*($K418+$L418)-X431</f>
        <v>67303.125</v>
      </c>
      <c r="Y418" s="310" t="n">
        <f aca="false">Y392*($K418+$L418)-Y431</f>
        <v>65966.0625</v>
      </c>
      <c r="AC418" s="417" t="n">
        <f aca="false">SUM(N418:Y418)</f>
        <v>813719.0625</v>
      </c>
    </row>
    <row r="419" customFormat="false" ht="12.75" hidden="false" customHeight="true" outlineLevel="0" collapsed="false">
      <c r="A419" s="370"/>
      <c r="B419" s="370"/>
      <c r="C419" s="370"/>
      <c r="D419" s="370"/>
      <c r="E419" s="446"/>
      <c r="F419" s="370"/>
      <c r="G419" s="370"/>
      <c r="K419" s="459"/>
      <c r="L419" s="459"/>
      <c r="N419" s="373" t="n">
        <f aca="false">N393*($K419+$L419)-N432</f>
        <v>0</v>
      </c>
      <c r="O419" s="373" t="n">
        <f aca="false">O393*($K419+$L419)-O432</f>
        <v>0</v>
      </c>
      <c r="P419" s="373" t="n">
        <f aca="false">P393*($K419+$L419)-P432</f>
        <v>0</v>
      </c>
      <c r="Q419" s="373" t="n">
        <f aca="false">Q393*($K419+$L419)-Q432</f>
        <v>0</v>
      </c>
      <c r="R419" s="373" t="n">
        <f aca="false">R393*($K419+$L419)-R432</f>
        <v>0</v>
      </c>
      <c r="S419" s="373" t="n">
        <f aca="false">S393*($K419+$L419)-S432</f>
        <v>0</v>
      </c>
      <c r="T419" s="373" t="n">
        <f aca="false">T393*($K419+$L419)-T432</f>
        <v>0</v>
      </c>
      <c r="U419" s="373" t="n">
        <f aca="false">U393*($K419+$L419)-U432</f>
        <v>0</v>
      </c>
      <c r="V419" s="373" t="n">
        <f aca="false">V393*($K419+$L419)-V432</f>
        <v>0</v>
      </c>
      <c r="W419" s="373" t="n">
        <f aca="false">W393*($K419+$L419)-W432</f>
        <v>0</v>
      </c>
      <c r="X419" s="373" t="n">
        <f aca="false">X393*($K419+$L419)-X432</f>
        <v>0</v>
      </c>
      <c r="Y419" s="373" t="n">
        <f aca="false">Y393*($K419+$L419)-Y432</f>
        <v>0</v>
      </c>
    </row>
    <row r="420" customFormat="false" ht="12.75" hidden="false" customHeight="true" outlineLevel="0" collapsed="false">
      <c r="A420" s="370"/>
      <c r="B420" s="370"/>
      <c r="C420" s="370"/>
      <c r="D420" s="370"/>
      <c r="E420" s="460"/>
      <c r="F420" s="370"/>
      <c r="G420" s="370"/>
      <c r="I420" s="368"/>
      <c r="K420" s="459"/>
      <c r="L420" s="459"/>
      <c r="N420" s="447" t="n">
        <f aca="false">N394*($K420+$L420)-N433</f>
        <v>0</v>
      </c>
      <c r="O420" s="447" t="n">
        <f aca="false">O394*($K420+$L420)-O433</f>
        <v>0</v>
      </c>
      <c r="P420" s="447" t="n">
        <f aca="false">P394*($K420+$L420)-P433</f>
        <v>0</v>
      </c>
      <c r="Q420" s="447" t="n">
        <f aca="false">Q394*($K420+$L420)-Q433</f>
        <v>0</v>
      </c>
      <c r="R420" s="447" t="n">
        <f aca="false">R394*($K420+$L420)-R433</f>
        <v>0</v>
      </c>
      <c r="S420" s="447" t="n">
        <f aca="false">S394*($K420+$L420)-S433</f>
        <v>0</v>
      </c>
      <c r="T420" s="447" t="n">
        <f aca="false">T394*($K420+$L420)-T433</f>
        <v>0</v>
      </c>
      <c r="U420" s="447" t="n">
        <f aca="false">U394*($K420+$L420)-U433</f>
        <v>0</v>
      </c>
      <c r="V420" s="447" t="n">
        <f aca="false">V394*($K420+$L420)-V433</f>
        <v>0</v>
      </c>
      <c r="W420" s="447" t="n">
        <f aca="false">W394*($K420+$L420)-W433</f>
        <v>0</v>
      </c>
      <c r="X420" s="447" t="n">
        <f aca="false">X394*($K420+$L420)-X433</f>
        <v>0</v>
      </c>
      <c r="Y420" s="447" t="n">
        <f aca="false">Y394*($K420+$L420)-Y433</f>
        <v>0</v>
      </c>
    </row>
    <row r="421" customFormat="false" ht="12.75" hidden="false" customHeight="true" outlineLevel="0" collapsed="false">
      <c r="I421" s="360" t="n">
        <f aca="false">SUM(I411:I420)</f>
        <v>0</v>
      </c>
      <c r="N421" s="360" t="n">
        <f aca="false">SUM(N411:N420)</f>
        <v>309236.27005</v>
      </c>
      <c r="O421" s="360" t="n">
        <f aca="false">SUM(O411:O420)</f>
        <v>247142.812</v>
      </c>
      <c r="P421" s="360" t="n">
        <f aca="false">SUM(P411:P420)</f>
        <v>269151.49003</v>
      </c>
      <c r="Q421" s="360" t="n">
        <f aca="false">SUM(Q411:Q420)</f>
        <v>274917.9711</v>
      </c>
      <c r="R421" s="360" t="n">
        <f aca="false">SUM(R411:R420)</f>
        <v>282020.4664</v>
      </c>
      <c r="S421" s="360" t="n">
        <f aca="false">SUM(S411:S420)</f>
        <v>267482.289</v>
      </c>
      <c r="T421" s="360" t="n">
        <f aca="false">SUM(T411:T420)</f>
        <v>288981.163</v>
      </c>
      <c r="U421" s="360" t="n">
        <f aca="false">SUM(U411:U420)</f>
        <v>281886.60685</v>
      </c>
      <c r="V421" s="360" t="n">
        <f aca="false">SUM(V411:V420)</f>
        <v>279529.6485</v>
      </c>
      <c r="W421" s="360" t="n">
        <f aca="false">SUM(W411:W420)</f>
        <v>287776.42705</v>
      </c>
      <c r="X421" s="360" t="n">
        <f aca="false">SUM(X411:X420)</f>
        <v>269329.8225</v>
      </c>
      <c r="Y421" s="360" t="n">
        <f aca="false">SUM(Y411:Y420)</f>
        <v>270811.34845</v>
      </c>
      <c r="Z421" s="417" t="n">
        <f aca="false">SUM(N421:Y421)</f>
        <v>3328266.31493</v>
      </c>
    </row>
    <row r="424" customFormat="false" ht="12.75" hidden="false" customHeight="true" outlineLevel="0" collapsed="false">
      <c r="A424" s="294" t="s">
        <v>405</v>
      </c>
      <c r="B424" s="294" t="s">
        <v>415</v>
      </c>
      <c r="C424" s="294" t="s">
        <v>6</v>
      </c>
      <c r="D424" s="294" t="s">
        <v>329</v>
      </c>
      <c r="E424" s="443" t="n">
        <v>24927</v>
      </c>
      <c r="F424" s="443" t="s">
        <v>416</v>
      </c>
      <c r="H424" s="378" t="n">
        <v>38748</v>
      </c>
      <c r="K424" s="449" t="n">
        <v>0.0367</v>
      </c>
      <c r="L424" s="449" t="n">
        <v>0.0033</v>
      </c>
      <c r="M424" s="361" t="s">
        <v>346</v>
      </c>
      <c r="N424" s="360" t="n">
        <f aca="false">N398*$L424</f>
        <v>2740.617</v>
      </c>
      <c r="O424" s="360" t="n">
        <f aca="false">O398*$L424</f>
        <v>3049.2</v>
      </c>
      <c r="P424" s="360" t="n">
        <f aca="false">P398*$L424</f>
        <v>3888.423</v>
      </c>
      <c r="Q424" s="360" t="n">
        <f aca="false">Q398*$L424</f>
        <v>2622.51</v>
      </c>
      <c r="R424" s="360" t="n">
        <f aca="false">R398*$L424</f>
        <v>2946.24</v>
      </c>
      <c r="S424" s="360" t="n">
        <f aca="false">S398*$L424</f>
        <v>3474.9</v>
      </c>
      <c r="T424" s="360" t="n">
        <f aca="false">T398*$L424</f>
        <v>2148.3</v>
      </c>
      <c r="U424" s="360" t="n">
        <f aca="false">U398*$L424</f>
        <v>2961.585</v>
      </c>
      <c r="V424" s="360" t="n">
        <f aca="false">V398*$L424</f>
        <v>2093.85</v>
      </c>
      <c r="W424" s="360" t="n">
        <f aca="false">W398*$L424</f>
        <v>2286.405</v>
      </c>
      <c r="X424" s="360" t="n">
        <f aca="false">X398*$L424</f>
        <v>2747.25</v>
      </c>
      <c r="Y424" s="360" t="n">
        <f aca="false">Y398*$L424</f>
        <v>3698.145</v>
      </c>
      <c r="AF424" s="417" t="n">
        <f aca="false">SUM(N424:Y424)</f>
        <v>34657.425</v>
      </c>
    </row>
    <row r="425" customFormat="false" ht="12.75" hidden="false" customHeight="true" outlineLevel="0" collapsed="false">
      <c r="A425" s="294" t="s">
        <v>405</v>
      </c>
      <c r="B425" s="294" t="s">
        <v>415</v>
      </c>
      <c r="C425" s="294" t="s">
        <v>6</v>
      </c>
      <c r="D425" s="294" t="s">
        <v>329</v>
      </c>
      <c r="E425" s="443" t="n">
        <v>24926</v>
      </c>
      <c r="F425" s="443" t="s">
        <v>417</v>
      </c>
      <c r="H425" s="378" t="n">
        <v>36922</v>
      </c>
      <c r="K425" s="449" t="n">
        <v>0.0567</v>
      </c>
      <c r="L425" s="449" t="n">
        <v>0.0033</v>
      </c>
      <c r="M425" s="361" t="s">
        <v>346</v>
      </c>
      <c r="N425" s="360" t="n">
        <f aca="false">N399*$L425</f>
        <v>2740.617</v>
      </c>
      <c r="O425" s="360" t="n">
        <f aca="false">O399*$L425</f>
        <v>0</v>
      </c>
      <c r="P425" s="360" t="n">
        <f aca="false">P399*$L425</f>
        <v>0</v>
      </c>
      <c r="Q425" s="360" t="n">
        <f aca="false">Q399*$L425</f>
        <v>0</v>
      </c>
      <c r="R425" s="360" t="n">
        <f aca="false">R399*$L425</f>
        <v>0</v>
      </c>
      <c r="S425" s="360" t="n">
        <f aca="false">S399*$L425</f>
        <v>0</v>
      </c>
      <c r="T425" s="360" t="n">
        <f aca="false">T399*$L425</f>
        <v>0</v>
      </c>
      <c r="U425" s="360" t="n">
        <f aca="false">U399*$L425</f>
        <v>0</v>
      </c>
      <c r="V425" s="360" t="n">
        <f aca="false">V399*$L425</f>
        <v>0</v>
      </c>
      <c r="W425" s="360" t="n">
        <f aca="false">W399*$L425</f>
        <v>0</v>
      </c>
      <c r="X425" s="360" t="n">
        <f aca="false">X399*$L425</f>
        <v>0</v>
      </c>
      <c r="Y425" s="360" t="n">
        <f aca="false">Y399*$L425</f>
        <v>0</v>
      </c>
      <c r="AF425" s="417" t="n">
        <f aca="false">SUM(N425:Y425)</f>
        <v>2740.617</v>
      </c>
    </row>
    <row r="426" customFormat="false" ht="12.75" hidden="false" customHeight="true" outlineLevel="0" collapsed="false">
      <c r="A426" s="294" t="s">
        <v>405</v>
      </c>
      <c r="B426" s="294" t="s">
        <v>415</v>
      </c>
      <c r="C426" s="294" t="s">
        <v>6</v>
      </c>
      <c r="D426" s="294" t="s">
        <v>329</v>
      </c>
      <c r="E426" s="443" t="n">
        <v>24925</v>
      </c>
      <c r="F426" s="443" t="s">
        <v>418</v>
      </c>
      <c r="H426" s="378" t="n">
        <v>38017</v>
      </c>
      <c r="K426" s="449" t="n">
        <v>0.0567</v>
      </c>
      <c r="L426" s="449" t="n">
        <v>0.0033</v>
      </c>
      <c r="M426" s="361" t="s">
        <v>346</v>
      </c>
      <c r="N426" s="360" t="n">
        <f aca="false">N400*$L426</f>
        <v>4567.695</v>
      </c>
      <c r="O426" s="360" t="n">
        <f aca="false">O400*$L426</f>
        <v>5082</v>
      </c>
      <c r="P426" s="360" t="n">
        <f aca="false">P400*$L426</f>
        <v>6480.705</v>
      </c>
      <c r="Q426" s="360" t="n">
        <f aca="false">Q400*$L426</f>
        <v>4370.85</v>
      </c>
      <c r="R426" s="360" t="n">
        <f aca="false">R400*$L426</f>
        <v>4910.4</v>
      </c>
      <c r="S426" s="360" t="n">
        <f aca="false">S400*$L426</f>
        <v>5791.5</v>
      </c>
      <c r="T426" s="360" t="n">
        <f aca="false">T400*$L426</f>
        <v>3580.5</v>
      </c>
      <c r="U426" s="360" t="n">
        <f aca="false">U400*$L426</f>
        <v>4935.975</v>
      </c>
      <c r="V426" s="360" t="n">
        <f aca="false">V400*$L426</f>
        <v>3489.75</v>
      </c>
      <c r="W426" s="360" t="n">
        <f aca="false">W400*$L426</f>
        <v>3810.675</v>
      </c>
      <c r="X426" s="360" t="n">
        <f aca="false">X400*$L426</f>
        <v>4578.75</v>
      </c>
      <c r="Y426" s="360" t="n">
        <f aca="false">Y400*$L426</f>
        <v>6163.575</v>
      </c>
      <c r="AF426" s="417" t="n">
        <f aca="false">SUM(N426:Y426)</f>
        <v>57762.375</v>
      </c>
    </row>
    <row r="427" customFormat="false" ht="12.75" hidden="false" customHeight="true" outlineLevel="0" collapsed="false">
      <c r="A427" s="370" t="s">
        <v>405</v>
      </c>
      <c r="B427" s="370" t="s">
        <v>415</v>
      </c>
      <c r="C427" s="370" t="s">
        <v>6</v>
      </c>
      <c r="D427" s="370" t="s">
        <v>329</v>
      </c>
      <c r="E427" s="450" t="n">
        <v>27370</v>
      </c>
      <c r="F427" s="450" t="s">
        <v>419</v>
      </c>
      <c r="G427" s="380"/>
      <c r="H427" s="376" t="n">
        <v>37256</v>
      </c>
      <c r="K427" s="457" t="n">
        <v>0.0167</v>
      </c>
      <c r="L427" s="457" t="n">
        <v>0.0033</v>
      </c>
      <c r="N427" s="373" t="n">
        <f aca="false">N401*$L427</f>
        <v>2009.7858</v>
      </c>
      <c r="O427" s="373" t="n">
        <f aca="false">O401*$L427</f>
        <v>2236.08</v>
      </c>
      <c r="P427" s="373" t="n">
        <f aca="false">P401*$L427</f>
        <v>2851.5102</v>
      </c>
      <c r="Q427" s="373" t="n">
        <f aca="false">Q401*$L427</f>
        <v>1923.174</v>
      </c>
      <c r="R427" s="373" t="n">
        <f aca="false">R401*$L427</f>
        <v>2160.576</v>
      </c>
      <c r="S427" s="373" t="n">
        <f aca="false">S401*$L427</f>
        <v>2548.26</v>
      </c>
      <c r="T427" s="373" t="n">
        <f aca="false">T401*$L427</f>
        <v>1575.42</v>
      </c>
      <c r="U427" s="373" t="n">
        <f aca="false">U401*$L427</f>
        <v>2171.829</v>
      </c>
      <c r="V427" s="373" t="n">
        <f aca="false">V401*$L427</f>
        <v>1535.49</v>
      </c>
      <c r="W427" s="373" t="n">
        <f aca="false">W401*$L427</f>
        <v>1676.697</v>
      </c>
      <c r="X427" s="373" t="n">
        <f aca="false">X401*$L427</f>
        <v>2014.65</v>
      </c>
      <c r="Y427" s="373" t="n">
        <f aca="false">Y401*$L427</f>
        <v>2711.973</v>
      </c>
      <c r="AC427" s="417" t="n">
        <f aca="false">SUM(N427:Y427)</f>
        <v>25415.445</v>
      </c>
      <c r="AD427" s="417" t="n">
        <f aca="false">AC427</f>
        <v>25415.445</v>
      </c>
      <c r="AF427" s="417"/>
    </row>
    <row r="428" customFormat="false" ht="12.75" hidden="false" customHeight="true" outlineLevel="0" collapsed="false">
      <c r="A428" s="370" t="s">
        <v>405</v>
      </c>
      <c r="B428" s="370" t="s">
        <v>415</v>
      </c>
      <c r="C428" s="370" t="s">
        <v>5</v>
      </c>
      <c r="D428" s="370" t="s">
        <v>329</v>
      </c>
      <c r="E428" s="450" t="n">
        <v>27371</v>
      </c>
      <c r="F428" s="450" t="s">
        <v>419</v>
      </c>
      <c r="G428" s="380"/>
      <c r="H428" s="376" t="n">
        <v>37256</v>
      </c>
      <c r="K428" s="457" t="n">
        <v>0.0367</v>
      </c>
      <c r="L428" s="457" t="n">
        <v>0.0033</v>
      </c>
      <c r="O428" s="373" t="n">
        <f aca="false">O402*$L428</f>
        <v>2154.768</v>
      </c>
      <c r="P428" s="373" t="n">
        <f aca="false">P402*$L428</f>
        <v>2747.81892</v>
      </c>
      <c r="Q428" s="373" t="n">
        <f aca="false">Q402*$L428</f>
        <v>1853.2404</v>
      </c>
      <c r="R428" s="373" t="n">
        <f aca="false">R402*$L428</f>
        <v>2082.0096</v>
      </c>
      <c r="S428" s="373" t="n">
        <f aca="false">S402*$L428</f>
        <v>2455.596</v>
      </c>
      <c r="T428" s="373" t="n">
        <f aca="false">T402*$L428</f>
        <v>1518.132</v>
      </c>
      <c r="U428" s="373" t="n">
        <f aca="false">U402*$L428</f>
        <v>2092.8534</v>
      </c>
      <c r="V428" s="373" t="n">
        <f aca="false">V402*$L428</f>
        <v>1479.654</v>
      </c>
      <c r="W428" s="373" t="n">
        <f aca="false">W402*$L428</f>
        <v>1615.7262</v>
      </c>
      <c r="X428" s="373" t="n">
        <f aca="false">X402*$L428</f>
        <v>1941.39</v>
      </c>
      <c r="Y428" s="373" t="n">
        <f aca="false">Y402*$L428</f>
        <v>2613.3558</v>
      </c>
      <c r="AC428" s="417" t="n">
        <f aca="false">SUM(N428:Y428)</f>
        <v>22554.54432</v>
      </c>
      <c r="AD428" s="417" t="n">
        <f aca="false">AC428</f>
        <v>22554.54432</v>
      </c>
      <c r="AF428" s="417"/>
    </row>
    <row r="429" customFormat="false" ht="12.75" hidden="false" customHeight="true" outlineLevel="0" collapsed="false">
      <c r="A429" s="370" t="s">
        <v>405</v>
      </c>
      <c r="B429" s="370" t="s">
        <v>415</v>
      </c>
      <c r="C429" s="370" t="s">
        <v>5</v>
      </c>
      <c r="D429" s="370" t="s">
        <v>329</v>
      </c>
      <c r="E429" s="451"/>
      <c r="F429" s="451" t="s">
        <v>420</v>
      </c>
      <c r="G429" s="370" t="s">
        <v>413</v>
      </c>
      <c r="H429" s="372"/>
      <c r="K429" s="457" t="n">
        <v>0.0167</v>
      </c>
      <c r="L429" s="457" t="n">
        <v>0.0033</v>
      </c>
      <c r="N429" s="373" t="n">
        <f aca="false">N403*$L429</f>
        <v>0</v>
      </c>
      <c r="O429" s="373" t="n">
        <f aca="false">O403*$L429</f>
        <v>0</v>
      </c>
      <c r="P429" s="373" t="n">
        <f aca="false">P403*$L429</f>
        <v>0</v>
      </c>
      <c r="Q429" s="373" t="n">
        <f aca="false">Q403*$L429</f>
        <v>0</v>
      </c>
      <c r="R429" s="373" t="n">
        <f aca="false">R403*$L429</f>
        <v>0</v>
      </c>
      <c r="S429" s="373" t="n">
        <f aca="false">S403*$L429</f>
        <v>0</v>
      </c>
      <c r="T429" s="373" t="n">
        <f aca="false">T403*$L429</f>
        <v>0</v>
      </c>
      <c r="U429" s="373" t="n">
        <f aca="false">U403*$L429</f>
        <v>0</v>
      </c>
      <c r="V429" s="373" t="n">
        <f aca="false">V403*$L429</f>
        <v>0</v>
      </c>
      <c r="W429" s="373" t="n">
        <f aca="false">W403*$L429</f>
        <v>0</v>
      </c>
      <c r="X429" s="373" t="n">
        <f aca="false">X403*$L429</f>
        <v>0</v>
      </c>
      <c r="Y429" s="373" t="n">
        <f aca="false">Y403*$L429</f>
        <v>0</v>
      </c>
      <c r="AC429" s="417" t="n">
        <f aca="false">SUM(N429:Y429)</f>
        <v>0</v>
      </c>
      <c r="AD429" s="417" t="n">
        <f aca="false">AC429</f>
        <v>0</v>
      </c>
      <c r="AF429" s="417"/>
    </row>
    <row r="430" customFormat="false" ht="12.75" hidden="false" customHeight="true" outlineLevel="0" collapsed="false">
      <c r="A430" s="370" t="s">
        <v>405</v>
      </c>
      <c r="B430" s="383" t="s">
        <v>415</v>
      </c>
      <c r="C430" s="383" t="s">
        <v>6</v>
      </c>
      <c r="D430" s="383" t="s">
        <v>329</v>
      </c>
      <c r="E430" s="452" t="n">
        <v>25569</v>
      </c>
      <c r="F430" s="452" t="s">
        <v>372</v>
      </c>
      <c r="G430" s="380" t="s">
        <v>421</v>
      </c>
      <c r="H430" s="376" t="n">
        <v>37621</v>
      </c>
      <c r="I430" s="310"/>
      <c r="J430" s="383"/>
      <c r="K430" s="456" t="n">
        <v>0.0417</v>
      </c>
      <c r="L430" s="456" t="n">
        <v>0.0033</v>
      </c>
      <c r="M430" s="386"/>
      <c r="N430" s="310" t="n">
        <f aca="false">N404*$L430</f>
        <v>1233.27765</v>
      </c>
      <c r="O430" s="310" t="n">
        <f aca="false">O404*$L430</f>
        <v>1372.14</v>
      </c>
      <c r="P430" s="310" t="n">
        <f aca="false">P404*$L430</f>
        <v>1749.79035</v>
      </c>
      <c r="Q430" s="310" t="n">
        <f aca="false">Q404*$L430</f>
        <v>1180.1295</v>
      </c>
      <c r="R430" s="310" t="n">
        <f aca="false">R404*$L430</f>
        <v>1325.808</v>
      </c>
      <c r="S430" s="310" t="n">
        <f aca="false">S404*$L430</f>
        <v>1563.705</v>
      </c>
      <c r="T430" s="310" t="n">
        <f aca="false">T404*$L430</f>
        <v>966.735</v>
      </c>
      <c r="U430" s="310" t="n">
        <f aca="false">U404*$L430</f>
        <v>1332.71325</v>
      </c>
      <c r="V430" s="310" t="n">
        <f aca="false">V404*$L430</f>
        <v>942.2325</v>
      </c>
      <c r="W430" s="310" t="n">
        <f aca="false">W404*$L430</f>
        <v>1028.88225</v>
      </c>
      <c r="X430" s="310" t="n">
        <f aca="false">X404*$L430</f>
        <v>1236.2625</v>
      </c>
      <c r="Y430" s="310" t="n">
        <f aca="false">Y404*$L430</f>
        <v>1664.16525</v>
      </c>
      <c r="AC430" s="417" t="n">
        <f aca="false">SUM(N430:Y430)</f>
        <v>15595.84125</v>
      </c>
      <c r="AD430" s="417" t="n">
        <f aca="false">AC430</f>
        <v>15595.84125</v>
      </c>
      <c r="AF430" s="417"/>
    </row>
    <row r="431" customFormat="false" ht="12.75" hidden="false" customHeight="true" outlineLevel="0" collapsed="false">
      <c r="A431" s="383" t="s">
        <v>405</v>
      </c>
      <c r="B431" s="383" t="s">
        <v>415</v>
      </c>
      <c r="C431" s="383" t="s">
        <v>6</v>
      </c>
      <c r="D431" s="383" t="s">
        <v>329</v>
      </c>
      <c r="E431" s="454" t="n">
        <v>27047</v>
      </c>
      <c r="F431" s="383" t="s">
        <v>422</v>
      </c>
      <c r="G431" s="380" t="s">
        <v>421</v>
      </c>
      <c r="H431" s="376" t="n">
        <v>38717</v>
      </c>
      <c r="I431" s="310"/>
      <c r="J431" s="383"/>
      <c r="K431" s="458" t="n">
        <v>0.0177</v>
      </c>
      <c r="L431" s="458" t="n">
        <v>0.0033</v>
      </c>
      <c r="M431" s="386"/>
      <c r="N431" s="310" t="n">
        <f aca="false">N405*$L431</f>
        <v>11419.2375</v>
      </c>
      <c r="O431" s="310" t="n">
        <f aca="false">O405*$L431</f>
        <v>12705</v>
      </c>
      <c r="P431" s="310" t="n">
        <f aca="false">P405*$L431</f>
        <v>16201.7625</v>
      </c>
      <c r="Q431" s="310" t="n">
        <f aca="false">Q405*$L431</f>
        <v>10927.125</v>
      </c>
      <c r="R431" s="310" t="n">
        <f aca="false">R405*$L431</f>
        <v>12276</v>
      </c>
      <c r="S431" s="310" t="n">
        <f aca="false">S405*$L431</f>
        <v>14478.75</v>
      </c>
      <c r="T431" s="310" t="n">
        <f aca="false">T405*$L431</f>
        <v>8951.25</v>
      </c>
      <c r="U431" s="310" t="n">
        <f aca="false">U405*$L431</f>
        <v>12339.9375</v>
      </c>
      <c r="V431" s="310" t="n">
        <f aca="false">V405*$L431</f>
        <v>8724.375</v>
      </c>
      <c r="W431" s="310" t="n">
        <f aca="false">W405*$L431</f>
        <v>9526.6875</v>
      </c>
      <c r="X431" s="310" t="n">
        <f aca="false">X405*$L431</f>
        <v>11446.875</v>
      </c>
      <c r="Y431" s="310" t="n">
        <f aca="false">Y405*$L431</f>
        <v>15408.9375</v>
      </c>
      <c r="AC431" s="417" t="n">
        <f aca="false">SUM(N431:Y431)</f>
        <v>144405.9375</v>
      </c>
      <c r="AD431" s="417" t="n">
        <f aca="false">AC431</f>
        <v>144405.9375</v>
      </c>
      <c r="AF431" s="417"/>
    </row>
    <row r="432" customFormat="false" ht="12.75" hidden="false" customHeight="true" outlineLevel="0" collapsed="false">
      <c r="A432" s="370"/>
      <c r="B432" s="370"/>
      <c r="C432" s="370"/>
      <c r="D432" s="370"/>
      <c r="E432" s="446"/>
      <c r="F432" s="370"/>
      <c r="G432" s="370"/>
      <c r="K432" s="459"/>
      <c r="L432" s="459"/>
      <c r="N432" s="373" t="n">
        <f aca="false">N406*$L432</f>
        <v>0</v>
      </c>
      <c r="O432" s="373" t="n">
        <f aca="false">O406*$L432</f>
        <v>0</v>
      </c>
      <c r="P432" s="373" t="n">
        <f aca="false">P406*$L432</f>
        <v>0</v>
      </c>
      <c r="Q432" s="373" t="n">
        <f aca="false">Q406*$L432</f>
        <v>0</v>
      </c>
      <c r="R432" s="373" t="n">
        <f aca="false">R406*$L432</f>
        <v>0</v>
      </c>
      <c r="S432" s="373" t="n">
        <f aca="false">S406*$L432</f>
        <v>0</v>
      </c>
      <c r="T432" s="373" t="n">
        <f aca="false">T406*$L432</f>
        <v>0</v>
      </c>
      <c r="U432" s="373" t="n">
        <f aca="false">U406*$L432</f>
        <v>0</v>
      </c>
      <c r="V432" s="373" t="n">
        <f aca="false">V406*$L432</f>
        <v>0</v>
      </c>
      <c r="W432" s="373" t="n">
        <f aca="false">W406*$L432</f>
        <v>0</v>
      </c>
      <c r="X432" s="373" t="n">
        <f aca="false">X406*$L432</f>
        <v>0</v>
      </c>
      <c r="Y432" s="373" t="n">
        <f aca="false">Y406*$L432</f>
        <v>0</v>
      </c>
      <c r="AD432" s="417" t="n">
        <f aca="false">AC432</f>
        <v>0</v>
      </c>
      <c r="AF432" s="417"/>
    </row>
    <row r="433" customFormat="false" ht="12.75" hidden="false" customHeight="true" outlineLevel="0" collapsed="false">
      <c r="A433" s="370"/>
      <c r="B433" s="370"/>
      <c r="C433" s="370"/>
      <c r="D433" s="370"/>
      <c r="E433" s="460"/>
      <c r="F433" s="370"/>
      <c r="G433" s="370"/>
      <c r="I433" s="368"/>
      <c r="K433" s="459"/>
      <c r="L433" s="459"/>
      <c r="M433" s="461"/>
      <c r="N433" s="447" t="n">
        <f aca="false">N407*$L433</f>
        <v>0</v>
      </c>
      <c r="O433" s="447" t="n">
        <f aca="false">O407*$L433</f>
        <v>0</v>
      </c>
      <c r="P433" s="447" t="n">
        <f aca="false">P407*$L433</f>
        <v>0</v>
      </c>
      <c r="Q433" s="447" t="n">
        <f aca="false">Q407*$L433</f>
        <v>0</v>
      </c>
      <c r="R433" s="447" t="n">
        <f aca="false">R407*$L433</f>
        <v>0</v>
      </c>
      <c r="S433" s="447" t="n">
        <f aca="false">S407*$L433</f>
        <v>0</v>
      </c>
      <c r="T433" s="447" t="n">
        <f aca="false">T407*$L433</f>
        <v>0</v>
      </c>
      <c r="U433" s="447" t="n">
        <f aca="false">U407*$L433</f>
        <v>0</v>
      </c>
      <c r="V433" s="447" t="n">
        <f aca="false">V407*$L433</f>
        <v>0</v>
      </c>
      <c r="W433" s="447" t="n">
        <f aca="false">W407*$L433</f>
        <v>0</v>
      </c>
      <c r="X433" s="447" t="n">
        <f aca="false">X407*$L433</f>
        <v>0</v>
      </c>
      <c r="Y433" s="447" t="n">
        <f aca="false">Y407*$L433</f>
        <v>0</v>
      </c>
      <c r="AD433" s="417" t="n">
        <f aca="false">AC433</f>
        <v>0</v>
      </c>
    </row>
    <row r="434" customFormat="false" ht="12.75" hidden="false" customHeight="true" outlineLevel="0" collapsed="false">
      <c r="I434" s="360" t="n">
        <f aca="false">SUM(I424:I433)</f>
        <v>0</v>
      </c>
      <c r="N434" s="360" t="n">
        <f aca="false">SUM(N424:N433)</f>
        <v>24711.22995</v>
      </c>
      <c r="O434" s="360" t="n">
        <f aca="false">SUM(O424:O433)</f>
        <v>26599.188</v>
      </c>
      <c r="P434" s="360" t="n">
        <f aca="false">SUM(P424:P433)</f>
        <v>33920.00997</v>
      </c>
      <c r="Q434" s="360" t="n">
        <f aca="false">SUM(Q424:Q433)</f>
        <v>22877.0289</v>
      </c>
      <c r="R434" s="360" t="n">
        <f aca="false">SUM(R424:R433)</f>
        <v>25701.0336</v>
      </c>
      <c r="S434" s="360" t="n">
        <f aca="false">SUM(S424:S433)</f>
        <v>30312.711</v>
      </c>
      <c r="T434" s="360" t="n">
        <f aca="false">SUM(T424:T433)</f>
        <v>18740.337</v>
      </c>
      <c r="U434" s="360" t="n">
        <f aca="false">SUM(U424:U433)</f>
        <v>25834.89315</v>
      </c>
      <c r="V434" s="360" t="n">
        <f aca="false">SUM(V424:V433)</f>
        <v>18265.3515</v>
      </c>
      <c r="W434" s="360" t="n">
        <f aca="false">SUM(W424:W433)</f>
        <v>19945.07295</v>
      </c>
      <c r="X434" s="360" t="n">
        <f aca="false">SUM(X424:X433)</f>
        <v>23965.1775</v>
      </c>
      <c r="Y434" s="360" t="n">
        <f aca="false">SUM(Y424:Y433)</f>
        <v>32260.15155</v>
      </c>
      <c r="Z434" s="417" t="n">
        <f aca="false">SUM(N434:Y434)</f>
        <v>303132.18507</v>
      </c>
      <c r="AE434" s="417" t="n">
        <f aca="false">Z434</f>
        <v>303132.18507</v>
      </c>
    </row>
    <row r="436" customFormat="false" ht="12.75" hidden="false" customHeight="true" outlineLevel="0" collapsed="false">
      <c r="A436" s="294" t="s">
        <v>405</v>
      </c>
      <c r="B436" s="294" t="s">
        <v>415</v>
      </c>
      <c r="C436" s="294" t="s">
        <v>5</v>
      </c>
      <c r="D436" s="294" t="s">
        <v>367</v>
      </c>
      <c r="N436" s="360" t="n">
        <v>129800</v>
      </c>
      <c r="O436" s="360" t="n">
        <v>53200</v>
      </c>
      <c r="P436" s="360" t="n">
        <v>55600</v>
      </c>
      <c r="Q436" s="360" t="n">
        <v>85000</v>
      </c>
      <c r="R436" s="360" t="n">
        <v>116400</v>
      </c>
      <c r="S436" s="360" t="n">
        <v>148000</v>
      </c>
      <c r="T436" s="360" t="n">
        <v>114000</v>
      </c>
      <c r="U436" s="360" t="n">
        <v>107800</v>
      </c>
      <c r="V436" s="360" t="n">
        <v>86000</v>
      </c>
      <c r="W436" s="360" t="n">
        <v>26000</v>
      </c>
      <c r="X436" s="360" t="n">
        <v>26000</v>
      </c>
      <c r="Y436" s="360" t="n">
        <v>102100</v>
      </c>
    </row>
    <row r="437" customFormat="false" ht="12.75" hidden="false" customHeight="true" outlineLevel="0" collapsed="false">
      <c r="A437" s="294" t="s">
        <v>405</v>
      </c>
      <c r="B437" s="294" t="s">
        <v>415</v>
      </c>
      <c r="C437" s="294" t="s">
        <v>225</v>
      </c>
      <c r="D437" s="294" t="s">
        <v>367</v>
      </c>
      <c r="N437" s="357" t="n">
        <v>0.0177</v>
      </c>
      <c r="O437" s="357" t="n">
        <v>0.0154</v>
      </c>
      <c r="P437" s="357" t="n">
        <v>0.0248</v>
      </c>
      <c r="Q437" s="357" t="n">
        <v>0.0198</v>
      </c>
      <c r="R437" s="357" t="n">
        <v>0.0151</v>
      </c>
      <c r="S437" s="357" t="n">
        <v>0.0191</v>
      </c>
      <c r="T437" s="357" t="n">
        <v>0.0151</v>
      </c>
      <c r="U437" s="357" t="n">
        <v>0.0151</v>
      </c>
      <c r="V437" s="357" t="n">
        <v>0.0151</v>
      </c>
      <c r="W437" s="357" t="n">
        <v>0.0151</v>
      </c>
      <c r="X437" s="357" t="n">
        <v>0.0151</v>
      </c>
      <c r="Y437" s="357" t="n">
        <v>0.0151</v>
      </c>
    </row>
    <row r="438" customFormat="false" ht="12.75" hidden="false" customHeight="true" outlineLevel="0" collapsed="false">
      <c r="A438" s="294" t="s">
        <v>405</v>
      </c>
      <c r="B438" s="294" t="s">
        <v>415</v>
      </c>
      <c r="C438" s="294" t="s">
        <v>6</v>
      </c>
      <c r="D438" s="294" t="s">
        <v>367</v>
      </c>
      <c r="N438" s="360" t="n">
        <f aca="false">N436*N437*N1</f>
        <v>71221.26</v>
      </c>
      <c r="O438" s="360" t="n">
        <f aca="false">O436*O437*O1</f>
        <v>22939.84</v>
      </c>
      <c r="P438" s="360" t="n">
        <f aca="false">P436*P437*P1</f>
        <v>42745.28</v>
      </c>
      <c r="Q438" s="360" t="n">
        <f aca="false">Q436*Q437*Q1</f>
        <v>50490</v>
      </c>
      <c r="R438" s="360" t="n">
        <f aca="false">R436*R437*R1</f>
        <v>54486.84</v>
      </c>
      <c r="S438" s="360" t="n">
        <f aca="false">S436*S437*S1</f>
        <v>84804</v>
      </c>
      <c r="T438" s="360" t="n">
        <f aca="false">T436*T437*T1</f>
        <v>53363.4</v>
      </c>
      <c r="U438" s="360" t="n">
        <f aca="false">U436*U437*U1</f>
        <v>50461.18</v>
      </c>
      <c r="V438" s="360" t="n">
        <f aca="false">V436*V437*V1</f>
        <v>38958</v>
      </c>
      <c r="W438" s="360" t="n">
        <f aca="false">W436*W437*W1</f>
        <v>12170.6</v>
      </c>
      <c r="X438" s="360" t="n">
        <f aca="false">X436*X437*X1</f>
        <v>11778</v>
      </c>
      <c r="Y438" s="360" t="n">
        <f aca="false">Y436*Y437*Y1</f>
        <v>47793.01</v>
      </c>
      <c r="Z438" s="417" t="n">
        <f aca="false">SUM(N438:Y438)</f>
        <v>541211.41</v>
      </c>
    </row>
    <row r="440" customFormat="false" ht="12.75" hidden="false" customHeight="true" outlineLevel="0" collapsed="false">
      <c r="L440" s="294" t="s">
        <v>423</v>
      </c>
    </row>
    <row r="442" customFormat="false" ht="12.75" hidden="false" customHeight="true" outlineLevel="0" collapsed="false">
      <c r="A442" s="422"/>
      <c r="B442" s="422"/>
      <c r="C442" s="422"/>
      <c r="D442" s="422"/>
      <c r="E442" s="423"/>
      <c r="F442" s="422"/>
      <c r="G442" s="422"/>
      <c r="H442" s="423"/>
      <c r="I442" s="424"/>
      <c r="J442" s="422"/>
      <c r="K442" s="425"/>
      <c r="L442" s="422"/>
      <c r="M442" s="426"/>
      <c r="N442" s="424"/>
      <c r="O442" s="424"/>
      <c r="P442" s="424"/>
      <c r="Q442" s="424"/>
      <c r="R442" s="424"/>
      <c r="S442" s="424"/>
      <c r="T442" s="424"/>
      <c r="U442" s="424"/>
      <c r="V442" s="424"/>
      <c r="W442" s="424"/>
      <c r="X442" s="424"/>
      <c r="Y442" s="424"/>
      <c r="Z442" s="422"/>
      <c r="AA442" s="422"/>
      <c r="AB442" s="422"/>
      <c r="AC442" s="422"/>
      <c r="AD442" s="422"/>
      <c r="AE442" s="422"/>
      <c r="AF442" s="422"/>
      <c r="AG442" s="422"/>
      <c r="AH442" s="422"/>
      <c r="AI442" s="422"/>
      <c r="AJ442" s="422"/>
      <c r="AK442" s="422"/>
      <c r="AL442" s="422"/>
      <c r="AM442" s="422"/>
      <c r="AN442" s="422"/>
      <c r="AO442" s="422"/>
      <c r="AP442" s="422"/>
      <c r="AQ442" s="422"/>
      <c r="AR442" s="422"/>
      <c r="AS442" s="422"/>
      <c r="AT442" s="422"/>
      <c r="AU442" s="422"/>
      <c r="AV442" s="422"/>
      <c r="AW442" s="422"/>
      <c r="AX442" s="422"/>
      <c r="AY442" s="422"/>
      <c r="AZ442" s="422"/>
      <c r="BA442" s="422"/>
      <c r="BB442" s="422"/>
      <c r="BC442" s="422"/>
      <c r="BD442" s="422"/>
      <c r="BE442" s="422"/>
      <c r="BF442" s="422"/>
      <c r="BG442" s="422"/>
      <c r="BH442" s="422"/>
      <c r="BI442" s="422"/>
      <c r="BJ442" s="422"/>
      <c r="BK442" s="422"/>
      <c r="BL442" s="422"/>
      <c r="BM442" s="422"/>
      <c r="BN442" s="422"/>
      <c r="BO442" s="422"/>
      <c r="BP442" s="422"/>
      <c r="BQ442" s="422"/>
      <c r="BR442" s="422"/>
      <c r="BS442" s="422"/>
      <c r="BT442" s="422"/>
      <c r="BU442" s="422"/>
      <c r="BV442" s="422"/>
      <c r="BW442" s="422"/>
      <c r="BX442" s="422"/>
      <c r="BY442" s="422"/>
      <c r="BZ442" s="422"/>
      <c r="CA442" s="422"/>
      <c r="CB442" s="422"/>
      <c r="CC442" s="422"/>
      <c r="CD442" s="422"/>
      <c r="CE442" s="422"/>
      <c r="CF442" s="422"/>
      <c r="CG442" s="422"/>
      <c r="CH442" s="422"/>
      <c r="CI442" s="422"/>
      <c r="CJ442" s="422"/>
      <c r="CK442" s="422"/>
      <c r="CL442" s="422"/>
      <c r="CM442" s="422"/>
      <c r="CN442" s="422"/>
      <c r="CO442" s="422"/>
      <c r="CP442" s="422"/>
      <c r="CQ442" s="422"/>
      <c r="CR442" s="422"/>
      <c r="CS442" s="422"/>
      <c r="CT442" s="422"/>
      <c r="CU442" s="422"/>
      <c r="CV442" s="422"/>
      <c r="CW442" s="422"/>
      <c r="CX442" s="422"/>
      <c r="CY442" s="422"/>
      <c r="CZ442" s="422"/>
      <c r="DA442" s="422"/>
      <c r="DB442" s="422"/>
      <c r="DC442" s="422"/>
      <c r="DD442" s="422"/>
      <c r="DE442" s="422"/>
      <c r="DF442" s="422"/>
      <c r="DG442" s="422"/>
      <c r="DH442" s="422"/>
      <c r="DI442" s="422"/>
      <c r="DJ442" s="422"/>
      <c r="DK442" s="422"/>
      <c r="DL442" s="422"/>
      <c r="DM442" s="422"/>
      <c r="DN442" s="422"/>
      <c r="DO442" s="422"/>
      <c r="DP442" s="422"/>
      <c r="DQ442" s="422"/>
      <c r="DR442" s="422"/>
      <c r="DS442" s="422"/>
      <c r="DT442" s="422"/>
      <c r="DU442" s="422"/>
      <c r="DV442" s="422"/>
      <c r="DW442" s="422"/>
      <c r="DX442" s="422"/>
      <c r="DY442" s="422"/>
      <c r="DZ442" s="422"/>
      <c r="EA442" s="422"/>
      <c r="EB442" s="422"/>
      <c r="EC442" s="422"/>
      <c r="ED442" s="422"/>
      <c r="EE442" s="422"/>
      <c r="EF442" s="422"/>
      <c r="EG442" s="422"/>
      <c r="EH442" s="422"/>
      <c r="EI442" s="422"/>
      <c r="EJ442" s="422"/>
      <c r="EK442" s="422"/>
      <c r="EL442" s="422"/>
      <c r="EM442" s="422"/>
      <c r="EN442" s="422"/>
      <c r="EO442" s="422"/>
      <c r="EP442" s="422"/>
      <c r="EQ442" s="422"/>
      <c r="ER442" s="422"/>
      <c r="ES442" s="422"/>
      <c r="ET442" s="422"/>
      <c r="EU442" s="422"/>
      <c r="EV442" s="422"/>
      <c r="EW442" s="422"/>
      <c r="EX442" s="422"/>
      <c r="EY442" s="422"/>
      <c r="EZ442" s="422"/>
      <c r="FA442" s="422"/>
      <c r="FB442" s="422"/>
      <c r="FC442" s="422"/>
      <c r="FD442" s="422"/>
      <c r="FE442" s="422"/>
      <c r="FF442" s="422"/>
      <c r="FG442" s="422"/>
      <c r="FH442" s="422"/>
      <c r="FI442" s="422"/>
      <c r="FJ442" s="422"/>
      <c r="FK442" s="422"/>
      <c r="FL442" s="422"/>
      <c r="FM442" s="422"/>
      <c r="FN442" s="422"/>
      <c r="FO442" s="422"/>
      <c r="FP442" s="422"/>
      <c r="FQ442" s="422"/>
      <c r="FR442" s="422"/>
      <c r="FS442" s="422"/>
      <c r="FT442" s="422"/>
      <c r="FU442" s="422"/>
      <c r="FV442" s="422"/>
      <c r="FW442" s="422"/>
      <c r="FX442" s="422"/>
      <c r="FY442" s="422"/>
      <c r="FZ442" s="422"/>
      <c r="GA442" s="422"/>
      <c r="GB442" s="422"/>
      <c r="GC442" s="422"/>
      <c r="GD442" s="422"/>
      <c r="GE442" s="422"/>
      <c r="GF442" s="422"/>
      <c r="GG442" s="422"/>
      <c r="GH442" s="422"/>
      <c r="GI442" s="422"/>
      <c r="GJ442" s="422"/>
      <c r="GK442" s="422"/>
      <c r="GL442" s="422"/>
      <c r="GM442" s="422"/>
      <c r="GN442" s="422"/>
      <c r="GO442" s="422"/>
      <c r="GP442" s="422"/>
      <c r="GQ442" s="422"/>
      <c r="GR442" s="422"/>
      <c r="GS442" s="422"/>
      <c r="GT442" s="422"/>
      <c r="GU442" s="422"/>
      <c r="GV442" s="422"/>
      <c r="GW442" s="422"/>
      <c r="GX442" s="422"/>
      <c r="GY442" s="422"/>
      <c r="GZ442" s="422"/>
      <c r="HA442" s="422"/>
      <c r="HB442" s="422"/>
      <c r="HC442" s="422"/>
      <c r="HD442" s="422"/>
      <c r="HE442" s="422"/>
      <c r="HF442" s="422"/>
      <c r="HG442" s="422"/>
      <c r="HH442" s="422"/>
      <c r="HI442" s="422"/>
      <c r="HJ442" s="422"/>
      <c r="HK442" s="422"/>
      <c r="HL442" s="422"/>
      <c r="HM442" s="422"/>
      <c r="HN442" s="422"/>
      <c r="HO442" s="422"/>
      <c r="HP442" s="422"/>
      <c r="HQ442" s="422"/>
      <c r="HR442" s="422"/>
      <c r="HS442" s="422"/>
      <c r="HT442" s="422"/>
      <c r="HU442" s="422"/>
      <c r="HV442" s="422"/>
      <c r="HW442" s="422"/>
      <c r="HX442" s="422"/>
      <c r="HY442" s="422"/>
      <c r="HZ442" s="422"/>
      <c r="IA442" s="422"/>
      <c r="IB442" s="422"/>
      <c r="IC442" s="422"/>
      <c r="ID442" s="422"/>
      <c r="IE442" s="422"/>
      <c r="IF442" s="422"/>
      <c r="IG442" s="422"/>
      <c r="IH442" s="422"/>
      <c r="II442" s="422"/>
      <c r="IJ442" s="422"/>
      <c r="IK442" s="422"/>
      <c r="IL442" s="422"/>
      <c r="IM442" s="422"/>
      <c r="IN442" s="422"/>
      <c r="IO442" s="422"/>
      <c r="IP442" s="422"/>
      <c r="IQ442" s="422"/>
      <c r="IR442" s="422"/>
      <c r="IS442" s="422"/>
      <c r="IT442" s="422"/>
      <c r="IU442" s="422"/>
      <c r="IV442" s="422"/>
      <c r="IW442" s="422"/>
    </row>
    <row r="443" customFormat="false" ht="12.75" hidden="false" customHeight="true" outlineLevel="0" collapsed="false">
      <c r="K443" s="357" t="s">
        <v>424</v>
      </c>
      <c r="N443" s="360" t="n">
        <v>20000</v>
      </c>
      <c r="O443" s="360" t="n">
        <v>20000</v>
      </c>
      <c r="P443" s="360" t="n">
        <v>20000</v>
      </c>
      <c r="Q443" s="360" t="n">
        <v>20000</v>
      </c>
      <c r="R443" s="360" t="n">
        <v>10000</v>
      </c>
      <c r="S443" s="360" t="n">
        <v>10000</v>
      </c>
      <c r="T443" s="360" t="n">
        <v>10000</v>
      </c>
      <c r="U443" s="360" t="n">
        <v>10000</v>
      </c>
      <c r="V443" s="360" t="n">
        <v>10000</v>
      </c>
      <c r="W443" s="360" t="n">
        <v>20000</v>
      </c>
      <c r="X443" s="360" t="n">
        <v>20000</v>
      </c>
      <c r="Y443" s="360" t="n">
        <v>20000</v>
      </c>
    </row>
    <row r="444" customFormat="false" ht="12.75" hidden="false" customHeight="true" outlineLevel="0" collapsed="false">
      <c r="N444" s="360" t="n">
        <v>40000</v>
      </c>
      <c r="O444" s="360" t="n">
        <v>40000</v>
      </c>
      <c r="P444" s="360" t="n">
        <v>25000</v>
      </c>
      <c r="Q444" s="360" t="n">
        <v>25000</v>
      </c>
      <c r="R444" s="360" t="n">
        <v>10000</v>
      </c>
      <c r="S444" s="360" t="n">
        <v>10000</v>
      </c>
      <c r="T444" s="360" t="n">
        <v>10000</v>
      </c>
      <c r="U444" s="360" t="n">
        <v>10000</v>
      </c>
      <c r="V444" s="360" t="n">
        <v>10000</v>
      </c>
      <c r="W444" s="360" t="n">
        <v>35000</v>
      </c>
      <c r="X444" s="360" t="n">
        <v>80000</v>
      </c>
      <c r="Y444" s="360" t="n">
        <v>80000</v>
      </c>
    </row>
    <row r="445" customFormat="false" ht="12.75" hidden="false" customHeight="true" outlineLevel="0" collapsed="false">
      <c r="A445" s="294" t="s">
        <v>231</v>
      </c>
      <c r="B445" s="294" t="s">
        <v>425</v>
      </c>
      <c r="C445" s="294" t="s">
        <v>5</v>
      </c>
      <c r="D445" s="294" t="s">
        <v>332</v>
      </c>
      <c r="E445" s="462" t="n">
        <v>24194</v>
      </c>
      <c r="F445" s="462" t="s">
        <v>426</v>
      </c>
      <c r="H445" s="463" t="n">
        <v>37164</v>
      </c>
      <c r="I445" s="464" t="n">
        <v>25000</v>
      </c>
      <c r="K445" s="449"/>
      <c r="L445" s="465"/>
      <c r="M445" s="361" t="s">
        <v>427</v>
      </c>
      <c r="N445" s="360" t="n">
        <f aca="false">N444*N1</f>
        <v>1240000</v>
      </c>
      <c r="O445" s="360" t="n">
        <f aca="false">O444*O1</f>
        <v>1120000</v>
      </c>
      <c r="P445" s="360" t="n">
        <f aca="false">P444*P1</f>
        <v>775000</v>
      </c>
      <c r="Q445" s="360" t="n">
        <f aca="false">Q444*Q1</f>
        <v>750000</v>
      </c>
      <c r="R445" s="360" t="n">
        <f aca="false">R444*R1</f>
        <v>310000</v>
      </c>
      <c r="S445" s="360" t="n">
        <f aca="false">S444*S1</f>
        <v>300000</v>
      </c>
      <c r="T445" s="360" t="n">
        <f aca="false">T444*T1</f>
        <v>310000</v>
      </c>
      <c r="U445" s="360" t="n">
        <f aca="false">U444*U1</f>
        <v>310000</v>
      </c>
      <c r="V445" s="360" t="n">
        <f aca="false">V444*V1</f>
        <v>300000</v>
      </c>
    </row>
    <row r="446" customFormat="false" ht="12.75" hidden="false" customHeight="true" outlineLevel="0" collapsed="false">
      <c r="A446" s="294" t="s">
        <v>231</v>
      </c>
      <c r="B446" s="294" t="s">
        <v>425</v>
      </c>
      <c r="C446" s="294" t="s">
        <v>5</v>
      </c>
      <c r="D446" s="294" t="s">
        <v>332</v>
      </c>
      <c r="E446" s="462" t="n">
        <v>27291</v>
      </c>
      <c r="F446" s="462" t="s">
        <v>357</v>
      </c>
      <c r="G446" s="375" t="n">
        <v>36739</v>
      </c>
      <c r="H446" s="463" t="n">
        <v>37468</v>
      </c>
      <c r="I446" s="464" t="n">
        <v>20000</v>
      </c>
      <c r="K446" s="449"/>
      <c r="L446" s="465"/>
      <c r="M446" s="361" t="s">
        <v>346</v>
      </c>
      <c r="N446" s="360" t="n">
        <f aca="false">$I$446*N$1</f>
        <v>620000</v>
      </c>
      <c r="O446" s="360" t="n">
        <f aca="false">$I$446*O$1</f>
        <v>560000</v>
      </c>
      <c r="P446" s="360" t="n">
        <f aca="false">$I$446*P$1</f>
        <v>620000</v>
      </c>
      <c r="Q446" s="360" t="n">
        <f aca="false">$I$446*Q$1</f>
        <v>600000</v>
      </c>
      <c r="R446" s="360" t="n">
        <f aca="false">$I$446*R$1</f>
        <v>620000</v>
      </c>
      <c r="S446" s="360" t="n">
        <f aca="false">$I$446*S$1</f>
        <v>600000</v>
      </c>
      <c r="T446" s="360" t="n">
        <f aca="false">$I$446*T$1</f>
        <v>620000</v>
      </c>
      <c r="U446" s="360" t="n">
        <f aca="false">$I$446*U$1</f>
        <v>620000</v>
      </c>
      <c r="V446" s="360" t="n">
        <f aca="false">$I$446*V$1</f>
        <v>600000</v>
      </c>
      <c r="W446" s="360" t="n">
        <f aca="false">$I$446*W$1</f>
        <v>620000</v>
      </c>
      <c r="X446" s="360" t="n">
        <f aca="false">$I$446*X$1</f>
        <v>600000</v>
      </c>
      <c r="Y446" s="360" t="n">
        <f aca="false">$I$446*Y$1</f>
        <v>620000</v>
      </c>
    </row>
    <row r="447" customFormat="false" ht="12.75" hidden="false" customHeight="true" outlineLevel="0" collapsed="false">
      <c r="A447" s="294" t="s">
        <v>231</v>
      </c>
      <c r="B447" s="294" t="s">
        <v>425</v>
      </c>
      <c r="C447" s="294" t="s">
        <v>5</v>
      </c>
      <c r="D447" s="294" t="s">
        <v>332</v>
      </c>
      <c r="E447" s="462" t="s">
        <v>428</v>
      </c>
      <c r="F447" s="462" t="s">
        <v>429</v>
      </c>
      <c r="H447" s="463" t="n">
        <v>37407</v>
      </c>
      <c r="I447" s="464" t="n">
        <v>35714</v>
      </c>
      <c r="K447" s="449"/>
      <c r="L447" s="465"/>
      <c r="M447" s="361" t="s">
        <v>346</v>
      </c>
      <c r="N447" s="360" t="n">
        <f aca="false">$I$447*N$1</f>
        <v>1107134</v>
      </c>
      <c r="O447" s="360" t="n">
        <f aca="false">$I$447*O$1</f>
        <v>999992</v>
      </c>
      <c r="P447" s="360" t="n">
        <f aca="false">$I$447*P$1</f>
        <v>1107134</v>
      </c>
      <c r="Q447" s="360" t="n">
        <f aca="false">$I$447*Q$1</f>
        <v>1071420</v>
      </c>
      <c r="R447" s="360" t="n">
        <f aca="false">$I$447*R$1</f>
        <v>1107134</v>
      </c>
      <c r="S447" s="360" t="n">
        <f aca="false">$I$447*S$1</f>
        <v>1071420</v>
      </c>
      <c r="T447" s="360" t="n">
        <f aca="false">$I$447*T$1</f>
        <v>1107134</v>
      </c>
      <c r="U447" s="360" t="n">
        <f aca="false">$I$447*U$1</f>
        <v>1107134</v>
      </c>
      <c r="W447" s="360" t="n">
        <v>0</v>
      </c>
      <c r="X447" s="360" t="n">
        <v>0</v>
      </c>
      <c r="Y447" s="360" t="n">
        <f aca="false">$I$447*Y$1</f>
        <v>1107134</v>
      </c>
    </row>
    <row r="448" customFormat="false" ht="12.75" hidden="false" customHeight="true" outlineLevel="0" collapsed="false">
      <c r="A448" s="294" t="s">
        <v>231</v>
      </c>
      <c r="B448" s="294" t="s">
        <v>425</v>
      </c>
      <c r="C448" s="294" t="s">
        <v>5</v>
      </c>
      <c r="D448" s="294" t="s">
        <v>332</v>
      </c>
      <c r="E448" s="466" t="n">
        <v>24690</v>
      </c>
      <c r="F448" s="466" t="s">
        <v>430</v>
      </c>
      <c r="H448" s="467" t="n">
        <v>36981</v>
      </c>
      <c r="I448" s="468" t="n">
        <v>15000</v>
      </c>
      <c r="K448" s="449"/>
      <c r="L448" s="449"/>
      <c r="M448" s="361" t="s">
        <v>427</v>
      </c>
      <c r="N448" s="360" t="n">
        <f aca="false">$I$448*N$1</f>
        <v>465000</v>
      </c>
      <c r="O448" s="360" t="n">
        <f aca="false">$I$448*O$1</f>
        <v>420000</v>
      </c>
      <c r="P448" s="360" t="n">
        <f aca="false">$I$448*P$1</f>
        <v>465000</v>
      </c>
    </row>
    <row r="449" customFormat="false" ht="12.75" hidden="false" customHeight="true" outlineLevel="0" collapsed="false">
      <c r="A449" s="294" t="s">
        <v>231</v>
      </c>
      <c r="B449" s="294" t="s">
        <v>425</v>
      </c>
      <c r="C449" s="294" t="s">
        <v>5</v>
      </c>
      <c r="D449" s="294" t="s">
        <v>332</v>
      </c>
      <c r="E449" s="466" t="n">
        <v>26740</v>
      </c>
      <c r="F449" s="466" t="s">
        <v>409</v>
      </c>
      <c r="H449" s="469" t="n">
        <v>39113</v>
      </c>
      <c r="I449" s="468" t="n">
        <v>8000</v>
      </c>
      <c r="K449" s="449"/>
      <c r="L449" s="449"/>
      <c r="M449" s="361" t="s">
        <v>346</v>
      </c>
      <c r="N449" s="360" t="n">
        <f aca="false">$I$449*N$1</f>
        <v>248000</v>
      </c>
      <c r="O449" s="360" t="n">
        <f aca="false">$I$449*O$1</f>
        <v>224000</v>
      </c>
      <c r="P449" s="360" t="n">
        <f aca="false">$I$449*P$1</f>
        <v>248000</v>
      </c>
      <c r="Q449" s="360" t="n">
        <f aca="false">$I$449*Q$1</f>
        <v>240000</v>
      </c>
      <c r="R449" s="360" t="n">
        <f aca="false">$I$449*R$1</f>
        <v>248000</v>
      </c>
      <c r="S449" s="360" t="n">
        <f aca="false">$I$449*S$1</f>
        <v>240000</v>
      </c>
      <c r="T449" s="360" t="n">
        <f aca="false">$I$449*T$1</f>
        <v>248000</v>
      </c>
      <c r="U449" s="360" t="n">
        <f aca="false">$I$449*U$1</f>
        <v>248000</v>
      </c>
      <c r="V449" s="360" t="n">
        <f aca="false">$I$449*V$1</f>
        <v>240000</v>
      </c>
      <c r="W449" s="360" t="n">
        <f aca="false">$I$449*W$1</f>
        <v>248000</v>
      </c>
      <c r="X449" s="360" t="n">
        <f aca="false">$I$449*X$1</f>
        <v>240000</v>
      </c>
      <c r="Y449" s="360" t="n">
        <f aca="false">$I$449*Y$1</f>
        <v>248000</v>
      </c>
    </row>
    <row r="450" customFormat="false" ht="12.75" hidden="false" customHeight="true" outlineLevel="0" collapsed="false">
      <c r="A450" s="294" t="s">
        <v>231</v>
      </c>
      <c r="B450" s="294" t="s">
        <v>425</v>
      </c>
      <c r="C450" s="294" t="s">
        <v>5</v>
      </c>
      <c r="D450" s="294" t="s">
        <v>332</v>
      </c>
      <c r="E450" s="466" t="n">
        <v>24754</v>
      </c>
      <c r="F450" s="466" t="s">
        <v>431</v>
      </c>
      <c r="H450" s="470" t="n">
        <v>38472</v>
      </c>
      <c r="I450" s="468" t="n">
        <v>1000</v>
      </c>
      <c r="K450" s="449"/>
      <c r="L450" s="449"/>
      <c r="M450" s="361" t="s">
        <v>352</v>
      </c>
      <c r="N450" s="360" t="n">
        <f aca="false">$I$450*N$1</f>
        <v>31000</v>
      </c>
      <c r="O450" s="360" t="n">
        <f aca="false">$I$450*O$1</f>
        <v>28000</v>
      </c>
      <c r="P450" s="360" t="n">
        <f aca="false">$I$450*P$1</f>
        <v>31000</v>
      </c>
      <c r="Q450" s="360" t="n">
        <f aca="false">$I$450*Q$1</f>
        <v>30000</v>
      </c>
    </row>
    <row r="451" customFormat="false" ht="12.75" hidden="false" customHeight="true" outlineLevel="0" collapsed="false">
      <c r="A451" s="294" t="s">
        <v>231</v>
      </c>
      <c r="B451" s="294" t="s">
        <v>425</v>
      </c>
      <c r="C451" s="294" t="s">
        <v>5</v>
      </c>
      <c r="D451" s="294" t="s">
        <v>332</v>
      </c>
      <c r="E451" s="466" t="n">
        <v>25031</v>
      </c>
      <c r="F451" s="466" t="s">
        <v>432</v>
      </c>
      <c r="H451" s="469" t="n">
        <v>39051</v>
      </c>
      <c r="I451" s="468" t="n">
        <v>0</v>
      </c>
      <c r="K451" s="294"/>
      <c r="N451" s="360" t="n">
        <f aca="false">$I$451*N$1</f>
        <v>0</v>
      </c>
      <c r="O451" s="360" t="n">
        <f aca="false">$I$451*O$1</f>
        <v>0</v>
      </c>
      <c r="P451" s="360" t="n">
        <f aca="false">$I$451*P$1</f>
        <v>0</v>
      </c>
      <c r="Q451" s="360" t="n">
        <f aca="false">$I$451*Q$1</f>
        <v>0</v>
      </c>
      <c r="R451" s="360" t="n">
        <f aca="false">$I$451*R$1</f>
        <v>0</v>
      </c>
      <c r="S451" s="360" t="n">
        <f aca="false">$I$451*S$1</f>
        <v>0</v>
      </c>
      <c r="T451" s="360" t="n">
        <f aca="false">$I$451*T$1</f>
        <v>0</v>
      </c>
      <c r="U451" s="360" t="n">
        <f aca="false">$I$451*U$1</f>
        <v>0</v>
      </c>
      <c r="V451" s="360" t="n">
        <f aca="false">$I$451*V$1</f>
        <v>0</v>
      </c>
      <c r="W451" s="360" t="n">
        <f aca="false">$I$451*W$1</f>
        <v>0</v>
      </c>
      <c r="X451" s="360" t="n">
        <f aca="false">$I$451*X$1</f>
        <v>0</v>
      </c>
      <c r="Y451" s="360" t="n">
        <f aca="false">$I$451*Y$1</f>
        <v>0</v>
      </c>
    </row>
    <row r="452" customFormat="false" ht="12.75" hidden="false" customHeight="true" outlineLevel="0" collapsed="false">
      <c r="A452" s="294" t="s">
        <v>231</v>
      </c>
      <c r="B452" s="294" t="s">
        <v>425</v>
      </c>
      <c r="C452" s="294" t="s">
        <v>5</v>
      </c>
      <c r="D452" s="294" t="s">
        <v>332</v>
      </c>
      <c r="E452" s="466" t="s">
        <v>433</v>
      </c>
      <c r="F452" s="466" t="s">
        <v>357</v>
      </c>
      <c r="H452" s="467" t="n">
        <v>36950</v>
      </c>
      <c r="I452" s="468" t="n">
        <v>10000</v>
      </c>
      <c r="K452" s="449"/>
      <c r="L452" s="449"/>
      <c r="M452" s="361" t="s">
        <v>346</v>
      </c>
      <c r="N452" s="360" t="n">
        <f aca="false">$I$452*N$1</f>
        <v>310000</v>
      </c>
      <c r="O452" s="360" t="n">
        <f aca="false">$I$452*O$1</f>
        <v>280000</v>
      </c>
    </row>
    <row r="453" customFormat="false" ht="12.75" hidden="false" customHeight="true" outlineLevel="0" collapsed="false">
      <c r="A453" s="294" t="s">
        <v>231</v>
      </c>
      <c r="B453" s="294" t="s">
        <v>425</v>
      </c>
      <c r="C453" s="294" t="s">
        <v>5</v>
      </c>
      <c r="D453" s="294" t="s">
        <v>332</v>
      </c>
      <c r="E453" s="466" t="n">
        <v>27161</v>
      </c>
      <c r="F453" s="466" t="s">
        <v>434</v>
      </c>
      <c r="H453" s="471" t="n">
        <v>37711</v>
      </c>
      <c r="I453" s="472" t="n">
        <v>400000</v>
      </c>
      <c r="K453" s="449"/>
      <c r="L453" s="449"/>
      <c r="M453" s="361" t="s">
        <v>352</v>
      </c>
      <c r="N453" s="360" t="n">
        <f aca="false">$I$453*N$1</f>
        <v>12400000</v>
      </c>
      <c r="O453" s="360" t="n">
        <f aca="false">$I$453*O$1</f>
        <v>11200000</v>
      </c>
      <c r="P453" s="360" t="n">
        <f aca="false">$I$453*P$1</f>
        <v>12400000</v>
      </c>
      <c r="Q453" s="360" t="n">
        <f aca="false">$I$453*Q$1</f>
        <v>12000000</v>
      </c>
      <c r="R453" s="360" t="n">
        <f aca="false">$I$453*R$1</f>
        <v>12400000</v>
      </c>
      <c r="S453" s="360" t="n">
        <f aca="false">$I$453*S$1</f>
        <v>12000000</v>
      </c>
      <c r="T453" s="360" t="n">
        <f aca="false">$I$453*T$1</f>
        <v>12400000</v>
      </c>
      <c r="U453" s="360" t="n">
        <f aca="false">$I$453*U$1</f>
        <v>12400000</v>
      </c>
      <c r="V453" s="360" t="n">
        <f aca="false">$I$453*V$1</f>
        <v>12000000</v>
      </c>
      <c r="W453" s="360" t="n">
        <f aca="false">$I$453*W$1</f>
        <v>12400000</v>
      </c>
    </row>
    <row r="454" customFormat="false" ht="12.75" hidden="false" customHeight="true" outlineLevel="0" collapsed="false">
      <c r="A454" s="294" t="s">
        <v>231</v>
      </c>
      <c r="B454" s="294" t="s">
        <v>425</v>
      </c>
      <c r="C454" s="294" t="s">
        <v>5</v>
      </c>
      <c r="D454" s="294" t="s">
        <v>332</v>
      </c>
      <c r="E454" s="466" t="s">
        <v>435</v>
      </c>
      <c r="F454" s="466" t="s">
        <v>350</v>
      </c>
      <c r="H454" s="376" t="n">
        <v>37925</v>
      </c>
      <c r="I454" s="472" t="n">
        <v>40000</v>
      </c>
      <c r="K454" s="449"/>
      <c r="L454" s="449"/>
      <c r="M454" s="361" t="s">
        <v>346</v>
      </c>
      <c r="N454" s="360" t="n">
        <f aca="false">$I$454*N$1</f>
        <v>1240000</v>
      </c>
      <c r="O454" s="360" t="n">
        <f aca="false">$I$454*O$1</f>
        <v>1120000</v>
      </c>
      <c r="P454" s="360" t="n">
        <f aca="false">$I$454*P$1</f>
        <v>1240000</v>
      </c>
      <c r="Q454" s="360" t="n">
        <f aca="false">$I$454*Q$1</f>
        <v>1200000</v>
      </c>
      <c r="R454" s="360" t="n">
        <f aca="false">$I$454*R$1</f>
        <v>1240000</v>
      </c>
      <c r="S454" s="360" t="n">
        <f aca="false">$I$454*S$1</f>
        <v>1200000</v>
      </c>
      <c r="T454" s="360" t="n">
        <f aca="false">$I$454*T$1</f>
        <v>1240000</v>
      </c>
      <c r="U454" s="360" t="n">
        <f aca="false">$I$454*U$1</f>
        <v>1240000</v>
      </c>
      <c r="V454" s="360" t="n">
        <f aca="false">$I$454*V$1</f>
        <v>1200000</v>
      </c>
      <c r="W454" s="360" t="n">
        <f aca="false">$I$454*W$1</f>
        <v>1240000</v>
      </c>
    </row>
    <row r="455" customFormat="false" ht="12.75" hidden="false" customHeight="true" outlineLevel="0" collapsed="false">
      <c r="A455" s="294" t="s">
        <v>231</v>
      </c>
      <c r="B455" s="294" t="s">
        <v>425</v>
      </c>
      <c r="C455" s="294" t="s">
        <v>5</v>
      </c>
      <c r="D455" s="294" t="s">
        <v>332</v>
      </c>
      <c r="E455" s="466" t="n">
        <v>27104</v>
      </c>
      <c r="F455" s="466" t="s">
        <v>436</v>
      </c>
      <c r="H455" s="467" t="n">
        <v>38383</v>
      </c>
      <c r="I455" s="472" t="n">
        <v>1613</v>
      </c>
      <c r="K455" s="449"/>
      <c r="L455" s="449"/>
      <c r="M455" s="382" t="s">
        <v>346</v>
      </c>
      <c r="N455" s="360" t="n">
        <f aca="false">$I$455*N$1</f>
        <v>50003</v>
      </c>
      <c r="O455" s="360" t="n">
        <f aca="false">$I$455*O$1</f>
        <v>45164</v>
      </c>
      <c r="P455" s="360" t="n">
        <f aca="false">$I$455*P$1</f>
        <v>50003</v>
      </c>
      <c r="Q455" s="360" t="n">
        <f aca="false">$I$455*Q$1</f>
        <v>48390</v>
      </c>
      <c r="R455" s="360" t="n">
        <f aca="false">$I$455*R$1</f>
        <v>50003</v>
      </c>
      <c r="S455" s="360" t="n">
        <f aca="false">$I$455*S$1</f>
        <v>48390</v>
      </c>
      <c r="T455" s="360" t="n">
        <f aca="false">14032*T$1</f>
        <v>434992</v>
      </c>
      <c r="U455" s="360" t="n">
        <f aca="false">10484*U$1</f>
        <v>325004</v>
      </c>
      <c r="V455" s="360" t="n">
        <f aca="false">1290*V$1</f>
        <v>38700</v>
      </c>
      <c r="W455" s="360" t="n">
        <v>0</v>
      </c>
      <c r="X455" s="360" t="n">
        <v>0</v>
      </c>
      <c r="Y455" s="360" t="n">
        <v>0</v>
      </c>
    </row>
    <row r="456" customFormat="false" ht="12.75" hidden="false" customHeight="true" outlineLevel="0" collapsed="false">
      <c r="A456" s="370" t="s">
        <v>231</v>
      </c>
      <c r="B456" s="370" t="s">
        <v>425</v>
      </c>
      <c r="C456" s="370" t="s">
        <v>5</v>
      </c>
      <c r="D456" s="370" t="s">
        <v>332</v>
      </c>
      <c r="E456" s="473" t="n">
        <v>24194</v>
      </c>
      <c r="F456" s="473" t="s">
        <v>437</v>
      </c>
      <c r="G456" s="370" t="s">
        <v>413</v>
      </c>
      <c r="H456" s="474"/>
      <c r="I456" s="475" t="n">
        <v>25000</v>
      </c>
      <c r="K456" s="449"/>
      <c r="L456" s="449"/>
      <c r="M456" s="382" t="s">
        <v>346</v>
      </c>
      <c r="W456" s="373" t="n">
        <f aca="false">35000*W$1</f>
        <v>1085000</v>
      </c>
      <c r="X456" s="373" t="n">
        <f aca="false">80000*X$1</f>
        <v>2400000</v>
      </c>
      <c r="Y456" s="373" t="n">
        <f aca="false">80000*Y$1</f>
        <v>2480000</v>
      </c>
    </row>
    <row r="457" customFormat="false" ht="12.75" hidden="false" customHeight="true" outlineLevel="0" collapsed="false">
      <c r="A457" s="370" t="s">
        <v>231</v>
      </c>
      <c r="B457" s="370" t="s">
        <v>425</v>
      </c>
      <c r="C457" s="370" t="s">
        <v>5</v>
      </c>
      <c r="D457" s="370" t="s">
        <v>332</v>
      </c>
      <c r="E457" s="473" t="n">
        <v>24690</v>
      </c>
      <c r="F457" s="473" t="s">
        <v>430</v>
      </c>
      <c r="G457" s="370" t="s">
        <v>413</v>
      </c>
      <c r="H457" s="474"/>
      <c r="I457" s="475" t="n">
        <v>0</v>
      </c>
      <c r="K457" s="449"/>
      <c r="L457" s="449"/>
      <c r="M457" s="382" t="s">
        <v>346</v>
      </c>
      <c r="Q457" s="373" t="n">
        <f aca="false">$I$457*Q$1</f>
        <v>0</v>
      </c>
      <c r="R457" s="373" t="n">
        <f aca="false">$I$457*R$1</f>
        <v>0</v>
      </c>
      <c r="S457" s="373" t="n">
        <f aca="false">$I$457*S$1</f>
        <v>0</v>
      </c>
      <c r="T457" s="373" t="n">
        <f aca="false">$I$457*T$1</f>
        <v>0</v>
      </c>
      <c r="U457" s="373" t="n">
        <f aca="false">$I$457*U$1</f>
        <v>0</v>
      </c>
      <c r="V457" s="373" t="n">
        <f aca="false">$I$457*V$1</f>
        <v>0</v>
      </c>
      <c r="W457" s="373" t="n">
        <f aca="false">$I$457*W$1</f>
        <v>0</v>
      </c>
      <c r="X457" s="373" t="n">
        <f aca="false">$I$457*X$1</f>
        <v>0</v>
      </c>
      <c r="Y457" s="373" t="n">
        <f aca="false">$I$457*Y$1</f>
        <v>0</v>
      </c>
    </row>
    <row r="458" customFormat="false" ht="12.75" hidden="false" customHeight="true" outlineLevel="0" collapsed="false">
      <c r="A458" s="370" t="s">
        <v>231</v>
      </c>
      <c r="B458" s="370" t="s">
        <v>425</v>
      </c>
      <c r="C458" s="370" t="s">
        <v>5</v>
      </c>
      <c r="D458" s="370" t="s">
        <v>332</v>
      </c>
      <c r="E458" s="473" t="n">
        <v>24754</v>
      </c>
      <c r="F458" s="473" t="s">
        <v>431</v>
      </c>
      <c r="G458" s="380" t="s">
        <v>421</v>
      </c>
      <c r="H458" s="470" t="n">
        <v>38472</v>
      </c>
      <c r="I458" s="475" t="n">
        <v>1000</v>
      </c>
      <c r="K458" s="449"/>
      <c r="L458" s="449"/>
      <c r="M458" s="382" t="s">
        <v>346</v>
      </c>
      <c r="R458" s="373" t="n">
        <f aca="false">$I$458*R$1</f>
        <v>31000</v>
      </c>
      <c r="S458" s="373" t="n">
        <f aca="false">$I$458*S$1</f>
        <v>30000</v>
      </c>
      <c r="T458" s="373" t="n">
        <f aca="false">$I$458*T$1</f>
        <v>31000</v>
      </c>
      <c r="U458" s="373" t="n">
        <f aca="false">$I$458*U$1</f>
        <v>31000</v>
      </c>
      <c r="V458" s="373" t="n">
        <f aca="false">$I$458*V$1</f>
        <v>30000</v>
      </c>
      <c r="W458" s="373" t="n">
        <f aca="false">$I$458*W$1</f>
        <v>31000</v>
      </c>
      <c r="X458" s="373" t="n">
        <f aca="false">$I$458*X$1</f>
        <v>30000</v>
      </c>
      <c r="Y458" s="373" t="n">
        <f aca="false">$I$458*Y$1</f>
        <v>31000</v>
      </c>
    </row>
    <row r="459" customFormat="false" ht="12.75" hidden="false" customHeight="true" outlineLevel="0" collapsed="false">
      <c r="A459" s="370" t="s">
        <v>231</v>
      </c>
      <c r="B459" s="370" t="s">
        <v>425</v>
      </c>
      <c r="C459" s="370" t="s">
        <v>5</v>
      </c>
      <c r="D459" s="370" t="s">
        <v>332</v>
      </c>
      <c r="E459" s="445" t="n">
        <v>27349</v>
      </c>
      <c r="F459" s="380" t="s">
        <v>357</v>
      </c>
      <c r="G459" s="387" t="n">
        <v>36892</v>
      </c>
      <c r="H459" s="376" t="n">
        <v>38717</v>
      </c>
      <c r="I459" s="381" t="n">
        <v>20000</v>
      </c>
      <c r="K459" s="449"/>
      <c r="L459" s="449"/>
      <c r="M459" s="382" t="s">
        <v>346</v>
      </c>
      <c r="N459" s="373" t="n">
        <f aca="false">$I$459*N$1</f>
        <v>620000</v>
      </c>
      <c r="O459" s="373" t="n">
        <f aca="false">$I$459*O$1</f>
        <v>560000</v>
      </c>
      <c r="P459" s="373" t="n">
        <f aca="false">$I$459*P$1</f>
        <v>620000</v>
      </c>
      <c r="Q459" s="373" t="n">
        <f aca="false">$I$459*Q$1</f>
        <v>600000</v>
      </c>
      <c r="R459" s="373" t="n">
        <f aca="false">$I$459*R$1</f>
        <v>620000</v>
      </c>
      <c r="S459" s="373" t="n">
        <f aca="false">$I$459*S$1</f>
        <v>600000</v>
      </c>
      <c r="T459" s="373" t="n">
        <f aca="false">$I$459*T$1</f>
        <v>620000</v>
      </c>
      <c r="U459" s="373" t="n">
        <f aca="false">$I$459*U$1</f>
        <v>620000</v>
      </c>
      <c r="V459" s="373" t="n">
        <f aca="false">$I$459*V$1</f>
        <v>600000</v>
      </c>
      <c r="W459" s="373" t="n">
        <f aca="false">$I$459*W$1</f>
        <v>620000</v>
      </c>
      <c r="X459" s="373" t="n">
        <f aca="false">$I$459*X$1</f>
        <v>600000</v>
      </c>
      <c r="Y459" s="373" t="n">
        <f aca="false">$I$459*Y$1</f>
        <v>620000</v>
      </c>
    </row>
    <row r="460" customFormat="false" ht="12.75" hidden="false" customHeight="true" outlineLevel="0" collapsed="false">
      <c r="A460" s="370" t="s">
        <v>231</v>
      </c>
      <c r="B460" s="370" t="s">
        <v>425</v>
      </c>
      <c r="C460" s="370" t="s">
        <v>5</v>
      </c>
      <c r="D460" s="370" t="s">
        <v>332</v>
      </c>
      <c r="E460" s="446" t="n">
        <v>27161</v>
      </c>
      <c r="F460" s="370" t="s">
        <v>434</v>
      </c>
      <c r="G460" s="380" t="s">
        <v>421</v>
      </c>
      <c r="H460" s="471" t="n">
        <v>37711</v>
      </c>
      <c r="I460" s="373" t="n">
        <v>400000</v>
      </c>
      <c r="M460" s="382" t="s">
        <v>352</v>
      </c>
      <c r="X460" s="373" t="n">
        <f aca="false">$I$460*X$1</f>
        <v>12000000</v>
      </c>
      <c r="Y460" s="373" t="n">
        <f aca="false">$I$460*Y$1</f>
        <v>12400000</v>
      </c>
    </row>
    <row r="461" customFormat="false" ht="12.75" hidden="false" customHeight="true" outlineLevel="0" collapsed="false">
      <c r="A461" s="370" t="s">
        <v>231</v>
      </c>
      <c r="B461" s="370" t="s">
        <v>425</v>
      </c>
      <c r="C461" s="370" t="s">
        <v>5</v>
      </c>
      <c r="D461" s="370" t="s">
        <v>332</v>
      </c>
      <c r="E461" s="446" t="n">
        <v>26490</v>
      </c>
      <c r="F461" s="370" t="s">
        <v>350</v>
      </c>
      <c r="G461" s="380" t="s">
        <v>421</v>
      </c>
      <c r="H461" s="376" t="n">
        <v>37925</v>
      </c>
      <c r="I461" s="373" t="n">
        <v>40000</v>
      </c>
      <c r="M461" s="382" t="s">
        <v>346</v>
      </c>
      <c r="X461" s="373" t="n">
        <f aca="false">$I$461*X$1</f>
        <v>1200000</v>
      </c>
      <c r="Y461" s="373" t="n">
        <f aca="false">$I$461*Y$1</f>
        <v>1240000</v>
      </c>
    </row>
    <row r="462" customFormat="false" ht="12.75" hidden="false" customHeight="true" outlineLevel="0" collapsed="false">
      <c r="A462" s="380" t="s">
        <v>231</v>
      </c>
      <c r="B462" s="380" t="s">
        <v>425</v>
      </c>
      <c r="C462" s="380" t="s">
        <v>5</v>
      </c>
      <c r="D462" s="380" t="s">
        <v>332</v>
      </c>
      <c r="E462" s="445" t="n">
        <v>27420</v>
      </c>
      <c r="F462" s="380" t="s">
        <v>438</v>
      </c>
      <c r="G462" s="387" t="n">
        <v>36861</v>
      </c>
      <c r="H462" s="376" t="n">
        <v>37225</v>
      </c>
      <c r="I462" s="381" t="n">
        <v>1932</v>
      </c>
      <c r="J462" s="380"/>
      <c r="K462" s="418"/>
      <c r="L462" s="380"/>
      <c r="M462" s="388" t="s">
        <v>346</v>
      </c>
      <c r="N462" s="381" t="n">
        <f aca="false">$I$462*N$1</f>
        <v>59892</v>
      </c>
      <c r="O462" s="381" t="n">
        <f aca="false">$I$462*O$1</f>
        <v>54096</v>
      </c>
      <c r="P462" s="381" t="n">
        <f aca="false">$I$462*P$1</f>
        <v>59892</v>
      </c>
      <c r="Q462" s="381" t="n">
        <f aca="false">$I$462*Q$1</f>
        <v>57960</v>
      </c>
      <c r="R462" s="381" t="n">
        <f aca="false">$I$462*R$1</f>
        <v>59892</v>
      </c>
      <c r="S462" s="381" t="n">
        <f aca="false">$I$462*S$1</f>
        <v>57960</v>
      </c>
      <c r="T462" s="381" t="n">
        <f aca="false">2500*T$1</f>
        <v>77500</v>
      </c>
      <c r="U462" s="381" t="n">
        <f aca="false">2500*U$1</f>
        <v>77500</v>
      </c>
      <c r="V462" s="381" t="n">
        <f aca="false">2500*V$1</f>
        <v>75000</v>
      </c>
      <c r="W462" s="381" t="n">
        <f aca="false">2500*W$1</f>
        <v>77500</v>
      </c>
      <c r="X462" s="381" t="n">
        <f aca="false">2500*X$1</f>
        <v>75000</v>
      </c>
      <c r="Y462" s="381"/>
    </row>
    <row r="463" customFormat="false" ht="12.75" hidden="false" customHeight="true" outlineLevel="0" collapsed="false">
      <c r="A463" s="380" t="s">
        <v>231</v>
      </c>
      <c r="B463" s="380" t="s">
        <v>425</v>
      </c>
      <c r="C463" s="380" t="s">
        <v>5</v>
      </c>
      <c r="D463" s="380" t="s">
        <v>332</v>
      </c>
      <c r="E463" s="445" t="n">
        <v>27377</v>
      </c>
      <c r="F463" s="380" t="s">
        <v>350</v>
      </c>
      <c r="G463" s="387" t="n">
        <v>36951</v>
      </c>
      <c r="H463" s="376" t="n">
        <v>37315</v>
      </c>
      <c r="I463" s="381" t="n">
        <v>10000</v>
      </c>
      <c r="J463" s="380"/>
      <c r="K463" s="418"/>
      <c r="L463" s="380"/>
      <c r="M463" s="388" t="s">
        <v>346</v>
      </c>
      <c r="N463" s="381"/>
      <c r="O463" s="381"/>
      <c r="P463" s="381" t="n">
        <f aca="false">$I$463*P$1</f>
        <v>310000</v>
      </c>
      <c r="Q463" s="381" t="n">
        <f aca="false">$I$463*Q$1</f>
        <v>300000</v>
      </c>
      <c r="R463" s="381" t="n">
        <f aca="false">$I$463*R$1</f>
        <v>310000</v>
      </c>
      <c r="S463" s="381" t="n">
        <f aca="false">$I$463*S$1</f>
        <v>300000</v>
      </c>
      <c r="T463" s="381" t="n">
        <f aca="false">$I$463*T$1</f>
        <v>310000</v>
      </c>
      <c r="U463" s="381" t="n">
        <f aca="false">$I$463*U$1</f>
        <v>310000</v>
      </c>
      <c r="V463" s="381" t="n">
        <f aca="false">$I$463*V$1</f>
        <v>300000</v>
      </c>
      <c r="W463" s="381" t="n">
        <f aca="false">$I$463*W$1</f>
        <v>310000</v>
      </c>
      <c r="X463" s="381" t="n">
        <f aca="false">$I$463*X$1</f>
        <v>300000</v>
      </c>
      <c r="Y463" s="381" t="n">
        <f aca="false">$I$463*Y$1</f>
        <v>310000</v>
      </c>
    </row>
    <row r="464" customFormat="false" ht="12.75" hidden="false" customHeight="true" outlineLevel="0" collapsed="false">
      <c r="A464" s="380" t="s">
        <v>231</v>
      </c>
      <c r="B464" s="380" t="s">
        <v>425</v>
      </c>
      <c r="C464" s="380" t="s">
        <v>5</v>
      </c>
      <c r="D464" s="380" t="s">
        <v>332</v>
      </c>
      <c r="E464" s="445" t="n">
        <v>27495</v>
      </c>
      <c r="F464" s="380" t="s">
        <v>439</v>
      </c>
      <c r="G464" s="387" t="n">
        <v>36951</v>
      </c>
      <c r="H464" s="376" t="n">
        <v>37711</v>
      </c>
      <c r="I464" s="381" t="n">
        <v>50000</v>
      </c>
      <c r="J464" s="380"/>
      <c r="K464" s="418"/>
      <c r="L464" s="380"/>
      <c r="M464" s="388" t="s">
        <v>346</v>
      </c>
      <c r="N464" s="381"/>
      <c r="O464" s="381"/>
      <c r="P464" s="381" t="n">
        <f aca="false">$I$464*P$1</f>
        <v>1550000</v>
      </c>
      <c r="Q464" s="381" t="n">
        <f aca="false">$I$464*Q$1</f>
        <v>1500000</v>
      </c>
      <c r="R464" s="381" t="n">
        <f aca="false">$I$464*R$1</f>
        <v>1550000</v>
      </c>
      <c r="S464" s="381" t="n">
        <f aca="false">$I$464*S$1</f>
        <v>1500000</v>
      </c>
      <c r="T464" s="381" t="n">
        <f aca="false">$I$464*T$1</f>
        <v>1550000</v>
      </c>
      <c r="U464" s="381" t="n">
        <f aca="false">$I$464*U$1</f>
        <v>1550000</v>
      </c>
      <c r="V464" s="381" t="n">
        <f aca="false">$I$464*V$1</f>
        <v>1500000</v>
      </c>
      <c r="W464" s="381" t="n">
        <f aca="false">$I$464*W$1</f>
        <v>1550000</v>
      </c>
      <c r="X464" s="381" t="n">
        <f aca="false">$I$464*X$1</f>
        <v>1500000</v>
      </c>
      <c r="Y464" s="381" t="n">
        <f aca="false">$I$464*Y$1</f>
        <v>1550000</v>
      </c>
    </row>
    <row r="465" customFormat="false" ht="12.75" hidden="false" customHeight="true" outlineLevel="0" collapsed="false">
      <c r="A465" s="389" t="s">
        <v>231</v>
      </c>
      <c r="B465" s="389" t="s">
        <v>425</v>
      </c>
      <c r="C465" s="389" t="s">
        <v>5</v>
      </c>
      <c r="D465" s="389" t="s">
        <v>332</v>
      </c>
      <c r="E465" s="476" t="n">
        <v>27579</v>
      </c>
      <c r="F465" s="389" t="s">
        <v>357</v>
      </c>
      <c r="G465" s="390" t="n">
        <v>37012</v>
      </c>
      <c r="H465" s="391" t="n">
        <v>37407</v>
      </c>
      <c r="I465" s="392" t="n">
        <v>20000</v>
      </c>
      <c r="J465" s="389"/>
      <c r="K465" s="419"/>
      <c r="L465" s="389"/>
      <c r="M465" s="416" t="s">
        <v>346</v>
      </c>
      <c r="N465" s="392"/>
      <c r="O465" s="392"/>
      <c r="P465" s="392"/>
      <c r="Q465" s="392"/>
      <c r="R465" s="392" t="n">
        <f aca="false">$I$465*R$1</f>
        <v>620000</v>
      </c>
      <c r="S465" s="392" t="n">
        <f aca="false">$I$465*S$1</f>
        <v>600000</v>
      </c>
      <c r="T465" s="392" t="n">
        <f aca="false">$I$465*T$1</f>
        <v>620000</v>
      </c>
      <c r="U465" s="392" t="n">
        <f aca="false">$I$465*U$1</f>
        <v>620000</v>
      </c>
      <c r="V465" s="392" t="n">
        <f aca="false">$I$465*V$1</f>
        <v>600000</v>
      </c>
      <c r="W465" s="392" t="n">
        <f aca="false">$I$465*W$1</f>
        <v>620000</v>
      </c>
      <c r="X465" s="392" t="n">
        <f aca="false">$I$465*X$1</f>
        <v>600000</v>
      </c>
      <c r="Y465" s="392" t="n">
        <f aca="false">$I$465*Y$1</f>
        <v>620000</v>
      </c>
      <c r="Z465" s="389"/>
      <c r="AA465" s="389"/>
      <c r="AB465" s="389"/>
      <c r="AC465" s="389"/>
      <c r="AD465" s="389"/>
      <c r="AE465" s="389"/>
      <c r="AF465" s="389"/>
      <c r="AG465" s="389"/>
      <c r="AH465" s="389"/>
      <c r="AI465" s="389"/>
      <c r="AJ465" s="389"/>
      <c r="AK465" s="389"/>
      <c r="AL465" s="389"/>
      <c r="AM465" s="389"/>
      <c r="AN465" s="389"/>
      <c r="AO465" s="389"/>
      <c r="AP465" s="389"/>
      <c r="AQ465" s="389"/>
      <c r="AR465" s="389"/>
      <c r="AS465" s="389"/>
      <c r="AT465" s="389"/>
      <c r="AU465" s="389"/>
      <c r="AV465" s="389"/>
      <c r="AW465" s="389"/>
      <c r="AX465" s="389"/>
      <c r="AY465" s="389"/>
      <c r="AZ465" s="389"/>
      <c r="BA465" s="389"/>
      <c r="BB465" s="389"/>
      <c r="BC465" s="389"/>
      <c r="BD465" s="389"/>
      <c r="BE465" s="389"/>
      <c r="BF465" s="389"/>
      <c r="BG465" s="389"/>
      <c r="BH465" s="389"/>
      <c r="BI465" s="389"/>
      <c r="BJ465" s="389"/>
      <c r="BK465" s="389"/>
      <c r="BL465" s="389"/>
      <c r="BM465" s="389"/>
      <c r="BN465" s="389"/>
      <c r="BO465" s="389"/>
      <c r="BP465" s="389"/>
      <c r="BQ465" s="389"/>
      <c r="BR465" s="389"/>
      <c r="BS465" s="389"/>
      <c r="BT465" s="389"/>
      <c r="BU465" s="389"/>
      <c r="BV465" s="389"/>
      <c r="BW465" s="389"/>
      <c r="BX465" s="389"/>
      <c r="BY465" s="389"/>
      <c r="BZ465" s="389"/>
      <c r="CA465" s="389"/>
      <c r="CB465" s="389"/>
      <c r="CC465" s="389"/>
      <c r="CD465" s="389"/>
      <c r="CE465" s="389"/>
      <c r="CF465" s="389"/>
      <c r="CG465" s="389"/>
      <c r="CH465" s="389"/>
      <c r="CI465" s="389"/>
      <c r="CJ465" s="389"/>
      <c r="CK465" s="389"/>
      <c r="CL465" s="389"/>
      <c r="CM465" s="389"/>
      <c r="CN465" s="389"/>
      <c r="CO465" s="389"/>
      <c r="CP465" s="389"/>
      <c r="CQ465" s="389"/>
      <c r="CR465" s="389"/>
      <c r="CS465" s="389"/>
      <c r="CT465" s="389"/>
      <c r="CU465" s="389"/>
      <c r="CV465" s="389"/>
      <c r="CW465" s="389"/>
      <c r="CX465" s="389"/>
      <c r="CY465" s="389"/>
      <c r="CZ465" s="389"/>
      <c r="DA465" s="389"/>
      <c r="DB465" s="389"/>
      <c r="DC465" s="389"/>
      <c r="DD465" s="389"/>
      <c r="DE465" s="389"/>
      <c r="DF465" s="389"/>
      <c r="DG465" s="389"/>
      <c r="DH465" s="389"/>
      <c r="DI465" s="389"/>
      <c r="DJ465" s="389"/>
      <c r="DK465" s="389"/>
      <c r="DL465" s="389"/>
      <c r="DM465" s="389"/>
      <c r="DN465" s="389"/>
      <c r="DO465" s="389"/>
      <c r="DP465" s="389"/>
      <c r="DQ465" s="389"/>
      <c r="DR465" s="389"/>
      <c r="DS465" s="389"/>
      <c r="DT465" s="389"/>
      <c r="DU465" s="389"/>
      <c r="DV465" s="389"/>
      <c r="DW465" s="389"/>
      <c r="DX465" s="389"/>
      <c r="DY465" s="389"/>
      <c r="DZ465" s="389"/>
      <c r="EA465" s="389"/>
      <c r="EB465" s="389"/>
      <c r="EC465" s="389"/>
      <c r="ED465" s="389"/>
      <c r="EE465" s="389"/>
      <c r="EF465" s="389"/>
      <c r="EG465" s="389"/>
      <c r="EH465" s="389"/>
      <c r="EI465" s="389"/>
      <c r="EJ465" s="389"/>
      <c r="EK465" s="389"/>
      <c r="EL465" s="389"/>
      <c r="EM465" s="389"/>
      <c r="EN465" s="389"/>
      <c r="EO465" s="389"/>
      <c r="EP465" s="389"/>
      <c r="EQ465" s="389"/>
      <c r="ER465" s="389"/>
      <c r="ES465" s="389"/>
      <c r="ET465" s="389"/>
      <c r="EU465" s="389"/>
      <c r="EV465" s="389"/>
      <c r="EW465" s="389"/>
      <c r="EX465" s="389"/>
      <c r="EY465" s="389"/>
      <c r="EZ465" s="389"/>
      <c r="FA465" s="389"/>
      <c r="FB465" s="389"/>
      <c r="FC465" s="389"/>
      <c r="FD465" s="389"/>
      <c r="FE465" s="389"/>
      <c r="FF465" s="389"/>
      <c r="FG465" s="389"/>
      <c r="FH465" s="389"/>
      <c r="FI465" s="389"/>
      <c r="FJ465" s="389"/>
      <c r="FK465" s="389"/>
      <c r="FL465" s="389"/>
      <c r="FM465" s="389"/>
      <c r="FN465" s="389"/>
      <c r="FO465" s="389"/>
      <c r="FP465" s="389"/>
      <c r="FQ465" s="389"/>
      <c r="FR465" s="389"/>
      <c r="FS465" s="389"/>
      <c r="FT465" s="389"/>
      <c r="FU465" s="389"/>
      <c r="FV465" s="389"/>
      <c r="FW465" s="389"/>
      <c r="FX465" s="389"/>
      <c r="FY465" s="389"/>
      <c r="FZ465" s="389"/>
      <c r="GA465" s="389"/>
      <c r="GB465" s="389"/>
      <c r="GC465" s="389"/>
      <c r="GD465" s="389"/>
      <c r="GE465" s="389"/>
      <c r="GF465" s="389"/>
      <c r="GG465" s="389"/>
      <c r="GH465" s="389"/>
      <c r="GI465" s="389"/>
      <c r="GJ465" s="389"/>
      <c r="GK465" s="389"/>
      <c r="GL465" s="389"/>
      <c r="GM465" s="389"/>
      <c r="GN465" s="389"/>
      <c r="GO465" s="389"/>
      <c r="GP465" s="389"/>
      <c r="GQ465" s="389"/>
      <c r="GR465" s="389"/>
      <c r="GS465" s="389"/>
      <c r="GT465" s="389"/>
      <c r="GU465" s="389"/>
      <c r="GV465" s="389"/>
      <c r="GW465" s="389"/>
      <c r="GX465" s="389"/>
      <c r="GY465" s="389"/>
      <c r="GZ465" s="389"/>
      <c r="HA465" s="389"/>
      <c r="HB465" s="389"/>
      <c r="HC465" s="389"/>
      <c r="HD465" s="389"/>
      <c r="HE465" s="389"/>
      <c r="HF465" s="389"/>
      <c r="HG465" s="389"/>
      <c r="HH465" s="389"/>
      <c r="HI465" s="389"/>
      <c r="HJ465" s="389"/>
      <c r="HK465" s="389"/>
      <c r="HL465" s="389"/>
      <c r="HM465" s="389"/>
      <c r="HN465" s="389"/>
      <c r="HO465" s="389"/>
      <c r="HP465" s="389"/>
      <c r="HQ465" s="389"/>
      <c r="HR465" s="389"/>
      <c r="HS465" s="389"/>
      <c r="HT465" s="389"/>
      <c r="HU465" s="389"/>
      <c r="HV465" s="389"/>
      <c r="HW465" s="389"/>
      <c r="HX465" s="389"/>
      <c r="HY465" s="389"/>
      <c r="HZ465" s="389"/>
      <c r="IA465" s="389"/>
      <c r="IB465" s="389"/>
      <c r="IC465" s="389"/>
      <c r="ID465" s="389"/>
      <c r="IE465" s="389"/>
      <c r="IF465" s="389"/>
      <c r="IG465" s="389"/>
      <c r="IH465" s="389"/>
      <c r="II465" s="389"/>
      <c r="IJ465" s="389"/>
      <c r="IK465" s="389"/>
      <c r="IL465" s="389"/>
      <c r="IM465" s="389"/>
      <c r="IN465" s="389"/>
      <c r="IO465" s="389"/>
      <c r="IP465" s="389"/>
      <c r="IQ465" s="389"/>
      <c r="IR465" s="389"/>
      <c r="IS465" s="389"/>
      <c r="IT465" s="389"/>
      <c r="IU465" s="389"/>
      <c r="IV465" s="389"/>
      <c r="IW465" s="389"/>
    </row>
    <row r="466" customFormat="false" ht="12.75" hidden="false" customHeight="true" outlineLevel="0" collapsed="false">
      <c r="A466" s="380" t="s">
        <v>231</v>
      </c>
      <c r="B466" s="380" t="s">
        <v>425</v>
      </c>
      <c r="C466" s="380" t="s">
        <v>5</v>
      </c>
      <c r="D466" s="380" t="s">
        <v>332</v>
      </c>
      <c r="E466" s="445" t="n">
        <v>27529</v>
      </c>
      <c r="F466" s="380" t="s">
        <v>419</v>
      </c>
      <c r="G466" s="387" t="n">
        <v>36951</v>
      </c>
      <c r="H466" s="376" t="n">
        <v>36981</v>
      </c>
      <c r="I466" s="381" t="n">
        <v>100000</v>
      </c>
      <c r="M466" s="382" t="s">
        <v>346</v>
      </c>
      <c r="P466" s="381" t="n">
        <f aca="false">$I$466*P$1</f>
        <v>3100000</v>
      </c>
      <c r="T466" s="392"/>
      <c r="X466" s="373"/>
      <c r="Y466" s="373"/>
    </row>
    <row r="467" customFormat="false" ht="12.75" hidden="false" customHeight="true" outlineLevel="0" collapsed="false">
      <c r="A467" s="380" t="s">
        <v>231</v>
      </c>
      <c r="B467" s="380" t="s">
        <v>425</v>
      </c>
      <c r="C467" s="380" t="s">
        <v>5</v>
      </c>
      <c r="D467" s="380" t="s">
        <v>332</v>
      </c>
      <c r="E467" s="445" t="n">
        <v>27600</v>
      </c>
      <c r="F467" s="380" t="s">
        <v>440</v>
      </c>
      <c r="G467" s="387" t="n">
        <v>37043</v>
      </c>
      <c r="H467" s="376" t="n">
        <v>37407</v>
      </c>
      <c r="I467" s="396" t="n">
        <v>2500</v>
      </c>
      <c r="M467" s="382" t="s">
        <v>346</v>
      </c>
      <c r="N467" s="368"/>
      <c r="O467" s="368"/>
      <c r="P467" s="396"/>
      <c r="Q467" s="368"/>
      <c r="R467" s="368"/>
      <c r="S467" s="368"/>
      <c r="T467" s="477" t="n">
        <f aca="false">$I$467*T$1</f>
        <v>77500</v>
      </c>
      <c r="U467" s="477" t="n">
        <f aca="false">$I$467*U$1</f>
        <v>77500</v>
      </c>
      <c r="V467" s="477" t="n">
        <f aca="false">$I$467*V$1</f>
        <v>75000</v>
      </c>
      <c r="W467" s="477" t="n">
        <f aca="false">$I$467*W$1</f>
        <v>77500</v>
      </c>
      <c r="X467" s="477" t="n">
        <f aca="false">$I$467*X$1</f>
        <v>75000</v>
      </c>
      <c r="Y467" s="477" t="n">
        <f aca="false">$I$467*Y$1</f>
        <v>77500</v>
      </c>
    </row>
    <row r="468" customFormat="false" ht="12.75" hidden="false" customHeight="true" outlineLevel="0" collapsed="false">
      <c r="I468" s="360" t="n">
        <f aca="false">SUM(I445:I467)</f>
        <v>1226759</v>
      </c>
      <c r="J468" s="478"/>
      <c r="N468" s="360" t="n">
        <f aca="false">SUM(N445:N467)</f>
        <v>18391029</v>
      </c>
      <c r="O468" s="360" t="n">
        <f aca="false">SUM(O445:O467)</f>
        <v>16611252</v>
      </c>
      <c r="P468" s="360" t="n">
        <f aca="false">SUM(P445:P467)</f>
        <v>22576029</v>
      </c>
      <c r="Q468" s="360" t="n">
        <f aca="false">SUM(Q445:Q467)</f>
        <v>18397770</v>
      </c>
      <c r="R468" s="360" t="n">
        <f aca="false">SUM(R445:R467)</f>
        <v>19166029</v>
      </c>
      <c r="S468" s="360" t="n">
        <f aca="false">SUM(S445:S467)</f>
        <v>18547770</v>
      </c>
      <c r="T468" s="360" t="n">
        <f aca="false">SUM(T445:T467)</f>
        <v>19646126</v>
      </c>
      <c r="U468" s="360" t="n">
        <f aca="false">SUM(U445:U467)</f>
        <v>19536138</v>
      </c>
      <c r="V468" s="360" t="n">
        <f aca="false">SUM(V445:V467)</f>
        <v>17558700</v>
      </c>
      <c r="W468" s="360" t="n">
        <f aca="false">SUM(W445:W467)</f>
        <v>18879000</v>
      </c>
      <c r="X468" s="360" t="n">
        <f aca="false">SUM(X445:X467)</f>
        <v>19620000</v>
      </c>
      <c r="Y468" s="360" t="n">
        <f aca="false">SUM(Y445:Y467)</f>
        <v>21303634</v>
      </c>
    </row>
    <row r="470" customFormat="false" ht="12.75" hidden="false" customHeight="true" outlineLevel="0" collapsed="false">
      <c r="A470" s="397" t="s">
        <v>414</v>
      </c>
      <c r="B470" s="398"/>
      <c r="C470" s="398"/>
      <c r="D470" s="398"/>
      <c r="E470" s="399"/>
      <c r="F470" s="398"/>
      <c r="G470" s="398"/>
      <c r="H470" s="399"/>
      <c r="I470" s="400"/>
      <c r="J470" s="398"/>
      <c r="K470" s="401"/>
      <c r="L470" s="398"/>
      <c r="M470" s="402"/>
      <c r="N470" s="403" t="n">
        <v>0.53</v>
      </c>
      <c r="O470" s="403" t="n">
        <v>0.54</v>
      </c>
      <c r="P470" s="403" t="n">
        <v>0.55</v>
      </c>
      <c r="Q470" s="403" t="n">
        <v>0.59</v>
      </c>
      <c r="R470" s="403" t="n">
        <v>0.63</v>
      </c>
      <c r="S470" s="403" t="n">
        <v>0.687</v>
      </c>
      <c r="T470" s="403" t="n">
        <v>0.59</v>
      </c>
      <c r="U470" s="403" t="n">
        <v>0.63</v>
      </c>
      <c r="V470" s="403" t="n">
        <v>0.53</v>
      </c>
      <c r="W470" s="403" t="n">
        <v>0.61</v>
      </c>
      <c r="X470" s="403" t="n">
        <v>0.62</v>
      </c>
      <c r="Y470" s="405" t="n">
        <v>0.643</v>
      </c>
    </row>
    <row r="471" customFormat="false" ht="12.75" hidden="false" customHeight="true" outlineLevel="0" collapsed="false">
      <c r="A471" s="294" t="s">
        <v>231</v>
      </c>
      <c r="B471" s="294" t="s">
        <v>425</v>
      </c>
      <c r="C471" s="294" t="s">
        <v>5</v>
      </c>
      <c r="D471" s="294" t="s">
        <v>329</v>
      </c>
      <c r="E471" s="462" t="n">
        <v>24194</v>
      </c>
      <c r="F471" s="462" t="s">
        <v>426</v>
      </c>
      <c r="H471" s="463" t="n">
        <v>37164</v>
      </c>
      <c r="I471" s="464" t="n">
        <v>25000</v>
      </c>
      <c r="K471" s="449"/>
      <c r="L471" s="465"/>
      <c r="M471" s="361" t="s">
        <v>427</v>
      </c>
      <c r="N471" s="360" t="n">
        <f aca="false">N445*N$470</f>
        <v>657200</v>
      </c>
      <c r="O471" s="360" t="n">
        <f aca="false">O445*O$470</f>
        <v>604800</v>
      </c>
      <c r="P471" s="360" t="n">
        <f aca="false">P445*P$470</f>
        <v>426250</v>
      </c>
      <c r="Q471" s="360" t="n">
        <f aca="false">Q445*Q$470</f>
        <v>442500</v>
      </c>
      <c r="R471" s="360" t="n">
        <f aca="false">R445*R$470</f>
        <v>195300</v>
      </c>
      <c r="S471" s="360" t="n">
        <f aca="false">S445*S$470</f>
        <v>206100</v>
      </c>
      <c r="T471" s="360" t="n">
        <f aca="false">T445*T$470</f>
        <v>182900</v>
      </c>
      <c r="U471" s="360" t="n">
        <f aca="false">U445*U$470</f>
        <v>195300</v>
      </c>
      <c r="V471" s="360" t="n">
        <f aca="false">V445*V$470</f>
        <v>159000</v>
      </c>
      <c r="W471" s="360" t="n">
        <f aca="false">W445*W$470</f>
        <v>0</v>
      </c>
      <c r="X471" s="360" t="n">
        <f aca="false">X445*X$470</f>
        <v>0</v>
      </c>
      <c r="Y471" s="360" t="n">
        <f aca="false">Y445*Y$470</f>
        <v>0</v>
      </c>
    </row>
    <row r="472" customFormat="false" ht="12.75" hidden="false" customHeight="true" outlineLevel="0" collapsed="false">
      <c r="A472" s="294" t="s">
        <v>231</v>
      </c>
      <c r="B472" s="294" t="s">
        <v>425</v>
      </c>
      <c r="C472" s="294" t="s">
        <v>5</v>
      </c>
      <c r="D472" s="294" t="s">
        <v>329</v>
      </c>
      <c r="E472" s="462" t="n">
        <v>27291</v>
      </c>
      <c r="F472" s="462" t="s">
        <v>357</v>
      </c>
      <c r="G472" s="375" t="n">
        <v>36739</v>
      </c>
      <c r="H472" s="463" t="n">
        <v>37468</v>
      </c>
      <c r="I472" s="464" t="n">
        <v>20000</v>
      </c>
      <c r="K472" s="449"/>
      <c r="L472" s="465"/>
      <c r="M472" s="361" t="s">
        <v>346</v>
      </c>
      <c r="N472" s="360" t="n">
        <f aca="false">N446*N$470</f>
        <v>328600</v>
      </c>
      <c r="O472" s="360" t="n">
        <f aca="false">O446*O$470</f>
        <v>302400</v>
      </c>
      <c r="P472" s="360" t="n">
        <f aca="false">P446*P$470</f>
        <v>341000</v>
      </c>
      <c r="Q472" s="360" t="n">
        <f aca="false">Q446*Q$470</f>
        <v>354000</v>
      </c>
      <c r="R472" s="360" t="n">
        <f aca="false">R446*R$470</f>
        <v>390600</v>
      </c>
      <c r="S472" s="360" t="n">
        <f aca="false">S446*S$470</f>
        <v>412200</v>
      </c>
      <c r="T472" s="360" t="n">
        <f aca="false">T446*T$470</f>
        <v>365800</v>
      </c>
      <c r="U472" s="360" t="n">
        <f aca="false">U446*U$470</f>
        <v>390600</v>
      </c>
      <c r="V472" s="360" t="n">
        <f aca="false">V446*V$470</f>
        <v>318000</v>
      </c>
      <c r="W472" s="360" t="n">
        <f aca="false">W446*W$470</f>
        <v>378200</v>
      </c>
      <c r="X472" s="360" t="n">
        <f aca="false">X446*X$470</f>
        <v>372000</v>
      </c>
      <c r="Y472" s="360" t="n">
        <f aca="false">Y446*Y$470</f>
        <v>398660</v>
      </c>
    </row>
    <row r="473" customFormat="false" ht="12.75" hidden="false" customHeight="true" outlineLevel="0" collapsed="false">
      <c r="A473" s="294" t="s">
        <v>231</v>
      </c>
      <c r="B473" s="294" t="s">
        <v>425</v>
      </c>
      <c r="C473" s="294" t="s">
        <v>5</v>
      </c>
      <c r="D473" s="294" t="s">
        <v>329</v>
      </c>
      <c r="E473" s="462" t="s">
        <v>428</v>
      </c>
      <c r="F473" s="462" t="s">
        <v>429</v>
      </c>
      <c r="H473" s="463" t="n">
        <v>37376</v>
      </c>
      <c r="I473" s="464" t="n">
        <v>35714</v>
      </c>
      <c r="K473" s="449"/>
      <c r="L473" s="465"/>
      <c r="M473" s="361" t="s">
        <v>346</v>
      </c>
      <c r="N473" s="360" t="n">
        <f aca="false">N447*N$470</f>
        <v>586781.02</v>
      </c>
      <c r="O473" s="360" t="n">
        <f aca="false">O447*O$470</f>
        <v>539995.68</v>
      </c>
      <c r="P473" s="360" t="n">
        <f aca="false">P447*P$470</f>
        <v>608923.7</v>
      </c>
      <c r="Q473" s="360" t="n">
        <f aca="false">Q447*Q$470</f>
        <v>632137.8</v>
      </c>
      <c r="R473" s="360" t="n">
        <f aca="false">R447*R$470</f>
        <v>697494.42</v>
      </c>
      <c r="S473" s="360" t="n">
        <f aca="false">S447*S$470</f>
        <v>736065.54</v>
      </c>
      <c r="T473" s="360" t="n">
        <f aca="false">T447*T$470</f>
        <v>653209.06</v>
      </c>
      <c r="U473" s="360" t="n">
        <f aca="false">U447*U$470</f>
        <v>697494.42</v>
      </c>
      <c r="V473" s="360" t="n">
        <f aca="false">V447*V$470</f>
        <v>0</v>
      </c>
      <c r="W473" s="360" t="n">
        <f aca="false">W447*W$470</f>
        <v>0</v>
      </c>
      <c r="X473" s="360" t="n">
        <f aca="false">X447*X$470</f>
        <v>0</v>
      </c>
      <c r="Y473" s="360" t="n">
        <f aca="false">Y447*Y$470</f>
        <v>711887.162</v>
      </c>
    </row>
    <row r="474" customFormat="false" ht="12.75" hidden="false" customHeight="true" outlineLevel="0" collapsed="false">
      <c r="A474" s="294" t="s">
        <v>231</v>
      </c>
      <c r="B474" s="294" t="s">
        <v>425</v>
      </c>
      <c r="C474" s="294" t="s">
        <v>5</v>
      </c>
      <c r="D474" s="294" t="s">
        <v>329</v>
      </c>
      <c r="E474" s="466" t="n">
        <v>24690</v>
      </c>
      <c r="F474" s="466" t="s">
        <v>430</v>
      </c>
      <c r="H474" s="467" t="n">
        <v>36981</v>
      </c>
      <c r="I474" s="468" t="n">
        <v>15000</v>
      </c>
      <c r="K474" s="449"/>
      <c r="L474" s="449"/>
      <c r="M474" s="361" t="s">
        <v>427</v>
      </c>
      <c r="N474" s="360" t="n">
        <f aca="false">N448*N$470</f>
        <v>246450</v>
      </c>
      <c r="O474" s="360" t="n">
        <f aca="false">O448*O$470</f>
        <v>226800</v>
      </c>
      <c r="P474" s="360" t="n">
        <f aca="false">P448*P$470</f>
        <v>255750</v>
      </c>
      <c r="Q474" s="360" t="n">
        <f aca="false">Q448*Q$470</f>
        <v>0</v>
      </c>
      <c r="R474" s="360" t="n">
        <f aca="false">R448*R$470</f>
        <v>0</v>
      </c>
      <c r="S474" s="360" t="n">
        <f aca="false">S448*S$470</f>
        <v>0</v>
      </c>
      <c r="T474" s="360" t="n">
        <f aca="false">T448*T$470</f>
        <v>0</v>
      </c>
      <c r="U474" s="360" t="n">
        <f aca="false">U448*U$470</f>
        <v>0</v>
      </c>
      <c r="V474" s="360" t="n">
        <f aca="false">V448*V$470</f>
        <v>0</v>
      </c>
      <c r="W474" s="360" t="n">
        <f aca="false">W448*W$470</f>
        <v>0</v>
      </c>
      <c r="X474" s="360" t="n">
        <f aca="false">X448*X$470</f>
        <v>0</v>
      </c>
      <c r="Y474" s="360" t="n">
        <f aca="false">Y448*Y$470</f>
        <v>0</v>
      </c>
    </row>
    <row r="475" customFormat="false" ht="12.75" hidden="false" customHeight="true" outlineLevel="0" collapsed="false">
      <c r="A475" s="294" t="s">
        <v>231</v>
      </c>
      <c r="B475" s="294" t="s">
        <v>425</v>
      </c>
      <c r="C475" s="294" t="s">
        <v>5</v>
      </c>
      <c r="D475" s="294" t="s">
        <v>329</v>
      </c>
      <c r="E475" s="466" t="n">
        <v>26740</v>
      </c>
      <c r="F475" s="466" t="s">
        <v>409</v>
      </c>
      <c r="H475" s="469" t="n">
        <v>39113</v>
      </c>
      <c r="I475" s="468" t="n">
        <v>8000</v>
      </c>
      <c r="K475" s="449"/>
      <c r="L475" s="449"/>
      <c r="M475" s="361" t="s">
        <v>346</v>
      </c>
      <c r="N475" s="360" t="n">
        <f aca="false">N449*N$470</f>
        <v>131440</v>
      </c>
      <c r="O475" s="360" t="n">
        <f aca="false">O449*O$470</f>
        <v>120960</v>
      </c>
      <c r="P475" s="360" t="n">
        <f aca="false">P449*P$470</f>
        <v>136400</v>
      </c>
      <c r="Q475" s="360" t="n">
        <f aca="false">Q449*Q$470</f>
        <v>141600</v>
      </c>
      <c r="R475" s="360" t="n">
        <f aca="false">R449*R$470</f>
        <v>156240</v>
      </c>
      <c r="S475" s="360" t="n">
        <f aca="false">S449*S$470</f>
        <v>164880</v>
      </c>
      <c r="T475" s="360" t="n">
        <f aca="false">T449*T$470</f>
        <v>146320</v>
      </c>
      <c r="U475" s="360" t="n">
        <f aca="false">U449*U$470</f>
        <v>156240</v>
      </c>
      <c r="V475" s="360" t="n">
        <f aca="false">V449*V$470</f>
        <v>127200</v>
      </c>
      <c r="W475" s="360" t="n">
        <f aca="false">W449*W$470</f>
        <v>151280</v>
      </c>
      <c r="X475" s="360" t="n">
        <f aca="false">X449*X$470</f>
        <v>148800</v>
      </c>
      <c r="Y475" s="360" t="n">
        <f aca="false">Y449*Y$470</f>
        <v>159464</v>
      </c>
    </row>
    <row r="476" customFormat="false" ht="12.75" hidden="false" customHeight="true" outlineLevel="0" collapsed="false">
      <c r="A476" s="294" t="s">
        <v>231</v>
      </c>
      <c r="B476" s="294" t="s">
        <v>425</v>
      </c>
      <c r="C476" s="294" t="s">
        <v>5</v>
      </c>
      <c r="D476" s="294" t="s">
        <v>329</v>
      </c>
      <c r="E476" s="466" t="n">
        <v>24754</v>
      </c>
      <c r="F476" s="466" t="s">
        <v>431</v>
      </c>
      <c r="H476" s="470" t="n">
        <v>38472</v>
      </c>
      <c r="I476" s="468" t="n">
        <v>1000</v>
      </c>
      <c r="K476" s="449"/>
      <c r="L476" s="449"/>
      <c r="M476" s="361" t="s">
        <v>352</v>
      </c>
      <c r="N476" s="360" t="n">
        <f aca="false">N450*N$470</f>
        <v>16430</v>
      </c>
      <c r="O476" s="360" t="n">
        <f aca="false">O450*O$470</f>
        <v>15120</v>
      </c>
      <c r="P476" s="360" t="n">
        <f aca="false">P450*P$470</f>
        <v>17050</v>
      </c>
      <c r="Q476" s="360" t="n">
        <f aca="false">Q450*Q$470</f>
        <v>17700</v>
      </c>
      <c r="R476" s="360" t="n">
        <f aca="false">R450*R$470</f>
        <v>0</v>
      </c>
      <c r="S476" s="360" t="n">
        <f aca="false">S450*S$470</f>
        <v>0</v>
      </c>
      <c r="T476" s="360" t="n">
        <f aca="false">T450*T$470</f>
        <v>0</v>
      </c>
      <c r="U476" s="360" t="n">
        <f aca="false">U450*U$470</f>
        <v>0</v>
      </c>
      <c r="V476" s="360" t="n">
        <f aca="false">V450*V$470</f>
        <v>0</v>
      </c>
      <c r="W476" s="360" t="n">
        <f aca="false">W450*W$470</f>
        <v>0</v>
      </c>
      <c r="X476" s="360" t="n">
        <f aca="false">X450*X$470</f>
        <v>0</v>
      </c>
      <c r="Y476" s="360" t="n">
        <f aca="false">Y450*Y$470</f>
        <v>0</v>
      </c>
    </row>
    <row r="477" customFormat="false" ht="12.75" hidden="false" customHeight="true" outlineLevel="0" collapsed="false">
      <c r="A477" s="294" t="s">
        <v>231</v>
      </c>
      <c r="B477" s="294" t="s">
        <v>425</v>
      </c>
      <c r="C477" s="294" t="s">
        <v>5</v>
      </c>
      <c r="D477" s="294" t="s">
        <v>329</v>
      </c>
      <c r="E477" s="466" t="n">
        <v>25031</v>
      </c>
      <c r="F477" s="466" t="s">
        <v>432</v>
      </c>
      <c r="H477" s="469" t="n">
        <v>39051</v>
      </c>
      <c r="I477" s="468" t="n">
        <v>0</v>
      </c>
      <c r="K477" s="294"/>
      <c r="N477" s="360" t="n">
        <f aca="false">N451*N$470</f>
        <v>0</v>
      </c>
      <c r="O477" s="360" t="n">
        <f aca="false">O451*O$470</f>
        <v>0</v>
      </c>
      <c r="P477" s="360" t="n">
        <f aca="false">P451*P$470</f>
        <v>0</v>
      </c>
      <c r="Q477" s="360" t="n">
        <f aca="false">Q451*Q$470</f>
        <v>0</v>
      </c>
      <c r="R477" s="360" t="n">
        <f aca="false">R451*R$470</f>
        <v>0</v>
      </c>
      <c r="S477" s="360" t="n">
        <f aca="false">S451*S$470</f>
        <v>0</v>
      </c>
      <c r="T477" s="360" t="n">
        <f aca="false">T451*T$470</f>
        <v>0</v>
      </c>
      <c r="U477" s="360" t="n">
        <f aca="false">U451*U$470</f>
        <v>0</v>
      </c>
      <c r="V477" s="360" t="n">
        <f aca="false">V451*V$470</f>
        <v>0</v>
      </c>
      <c r="W477" s="360" t="n">
        <f aca="false">W451*W$470</f>
        <v>0</v>
      </c>
      <c r="X477" s="360" t="n">
        <f aca="false">X451*X$470</f>
        <v>0</v>
      </c>
      <c r="Y477" s="360" t="n">
        <f aca="false">Y451*Y$470</f>
        <v>0</v>
      </c>
    </row>
    <row r="478" customFormat="false" ht="12.75" hidden="false" customHeight="true" outlineLevel="0" collapsed="false">
      <c r="A478" s="294" t="s">
        <v>231</v>
      </c>
      <c r="B478" s="294" t="s">
        <v>425</v>
      </c>
      <c r="C478" s="294" t="s">
        <v>5</v>
      </c>
      <c r="D478" s="294" t="s">
        <v>329</v>
      </c>
      <c r="E478" s="466" t="s">
        <v>433</v>
      </c>
      <c r="F478" s="466" t="s">
        <v>357</v>
      </c>
      <c r="H478" s="467" t="n">
        <v>36950</v>
      </c>
      <c r="I478" s="468" t="n">
        <v>10000</v>
      </c>
      <c r="K478" s="449"/>
      <c r="L478" s="449"/>
      <c r="M478" s="361" t="s">
        <v>346</v>
      </c>
      <c r="N478" s="360" t="n">
        <f aca="false">N452*N$470</f>
        <v>164300</v>
      </c>
      <c r="O478" s="360" t="n">
        <f aca="false">O452*O$470</f>
        <v>151200</v>
      </c>
      <c r="P478" s="360" t="n">
        <f aca="false">P452*P$470</f>
        <v>0</v>
      </c>
      <c r="Q478" s="360" t="n">
        <f aca="false">Q452*Q$470</f>
        <v>0</v>
      </c>
      <c r="R478" s="360" t="n">
        <f aca="false">R452*R$470</f>
        <v>0</v>
      </c>
      <c r="S478" s="360" t="n">
        <f aca="false">S452*S$470</f>
        <v>0</v>
      </c>
      <c r="T478" s="360" t="n">
        <f aca="false">T452*T$470</f>
        <v>0</v>
      </c>
      <c r="U478" s="360" t="n">
        <f aca="false">U452*U$470</f>
        <v>0</v>
      </c>
      <c r="V478" s="360" t="n">
        <f aca="false">V452*V$470</f>
        <v>0</v>
      </c>
      <c r="W478" s="360" t="n">
        <f aca="false">W452*W$470</f>
        <v>0</v>
      </c>
      <c r="X478" s="360" t="n">
        <f aca="false">X452*X$470</f>
        <v>0</v>
      </c>
      <c r="Y478" s="360" t="n">
        <f aca="false">Y452*Y$470</f>
        <v>0</v>
      </c>
    </row>
    <row r="479" customFormat="false" ht="12.75" hidden="false" customHeight="true" outlineLevel="0" collapsed="false">
      <c r="A479" s="294" t="s">
        <v>231</v>
      </c>
      <c r="B479" s="294" t="s">
        <v>425</v>
      </c>
      <c r="C479" s="294" t="s">
        <v>5</v>
      </c>
      <c r="D479" s="294" t="s">
        <v>329</v>
      </c>
      <c r="E479" s="466" t="n">
        <v>27161</v>
      </c>
      <c r="F479" s="466" t="s">
        <v>434</v>
      </c>
      <c r="H479" s="471" t="n">
        <v>37711</v>
      </c>
      <c r="I479" s="472" t="n">
        <v>400000</v>
      </c>
      <c r="J479" s="294" t="s">
        <v>441</v>
      </c>
      <c r="K479" s="449"/>
      <c r="L479" s="449"/>
      <c r="M479" s="361" t="s">
        <v>352</v>
      </c>
      <c r="N479" s="360" t="n">
        <f aca="false">N453*0.35</f>
        <v>4340000</v>
      </c>
      <c r="O479" s="360" t="n">
        <f aca="false">O453*0.35</f>
        <v>3920000</v>
      </c>
      <c r="P479" s="360" t="n">
        <f aca="false">P453*0.35</f>
        <v>4340000</v>
      </c>
      <c r="Q479" s="360" t="n">
        <f aca="false">Q453*0.35</f>
        <v>4200000</v>
      </c>
      <c r="R479" s="360" t="n">
        <f aca="false">R453*0.35</f>
        <v>4340000</v>
      </c>
      <c r="S479" s="360" t="n">
        <f aca="false">S453*0.35</f>
        <v>4200000</v>
      </c>
      <c r="T479" s="360" t="n">
        <f aca="false">T453*0.35</f>
        <v>4340000</v>
      </c>
      <c r="U479" s="360" t="n">
        <f aca="false">U453*0.35</f>
        <v>4340000</v>
      </c>
      <c r="V479" s="360" t="n">
        <f aca="false">V453*0.35</f>
        <v>4200000</v>
      </c>
      <c r="W479" s="360" t="n">
        <f aca="false">W453*0.35</f>
        <v>4340000</v>
      </c>
      <c r="X479" s="360" t="n">
        <f aca="false">X453*$N470</f>
        <v>0</v>
      </c>
      <c r="Y479" s="360" t="n">
        <f aca="false">Y453*$N470</f>
        <v>0</v>
      </c>
    </row>
    <row r="480" customFormat="false" ht="12.75" hidden="false" customHeight="true" outlineLevel="0" collapsed="false">
      <c r="A480" s="294" t="s">
        <v>231</v>
      </c>
      <c r="B480" s="294" t="s">
        <v>425</v>
      </c>
      <c r="C480" s="294" t="s">
        <v>5</v>
      </c>
      <c r="D480" s="294" t="s">
        <v>329</v>
      </c>
      <c r="E480" s="466" t="s">
        <v>435</v>
      </c>
      <c r="F480" s="466" t="s">
        <v>350</v>
      </c>
      <c r="H480" s="376" t="n">
        <v>37925</v>
      </c>
      <c r="I480" s="472" t="n">
        <v>40000</v>
      </c>
      <c r="K480" s="449"/>
      <c r="L480" s="449"/>
      <c r="M480" s="361" t="s">
        <v>346</v>
      </c>
      <c r="N480" s="360" t="n">
        <f aca="false">N454*N$470</f>
        <v>657200</v>
      </c>
      <c r="O480" s="360" t="n">
        <f aca="false">O454*O$470</f>
        <v>604800</v>
      </c>
      <c r="P480" s="360" t="n">
        <f aca="false">P454*P$470</f>
        <v>682000</v>
      </c>
      <c r="Q480" s="360" t="n">
        <f aca="false">Q454*Q$470</f>
        <v>708000</v>
      </c>
      <c r="R480" s="360" t="n">
        <f aca="false">R454*R$470</f>
        <v>781200</v>
      </c>
      <c r="S480" s="360" t="n">
        <f aca="false">S454*S$470</f>
        <v>824400</v>
      </c>
      <c r="T480" s="360" t="n">
        <f aca="false">T454*T$470</f>
        <v>731600</v>
      </c>
      <c r="U480" s="360" t="n">
        <f aca="false">U454*U$470</f>
        <v>781200</v>
      </c>
      <c r="V480" s="360" t="n">
        <f aca="false">V454*V$470</f>
        <v>636000</v>
      </c>
      <c r="W480" s="360" t="n">
        <f aca="false">W454*W$470</f>
        <v>756400</v>
      </c>
      <c r="X480" s="360" t="n">
        <f aca="false">X454*X$470</f>
        <v>0</v>
      </c>
      <c r="Y480" s="360" t="n">
        <f aca="false">Y454*Y$470</f>
        <v>0</v>
      </c>
    </row>
    <row r="481" customFormat="false" ht="12.75" hidden="false" customHeight="true" outlineLevel="0" collapsed="false">
      <c r="A481" s="294" t="s">
        <v>231</v>
      </c>
      <c r="B481" s="294" t="s">
        <v>425</v>
      </c>
      <c r="C481" s="294" t="s">
        <v>5</v>
      </c>
      <c r="D481" s="294" t="s">
        <v>329</v>
      </c>
      <c r="E481" s="466" t="n">
        <v>27104</v>
      </c>
      <c r="F481" s="466" t="s">
        <v>436</v>
      </c>
      <c r="H481" s="467" t="n">
        <v>37652</v>
      </c>
      <c r="I481" s="472" t="n">
        <v>1613</v>
      </c>
      <c r="K481" s="449"/>
      <c r="L481" s="449"/>
      <c r="M481" s="361" t="s">
        <v>346</v>
      </c>
      <c r="N481" s="360" t="n">
        <f aca="false">N455*N$470</f>
        <v>26501.59</v>
      </c>
      <c r="O481" s="360" t="n">
        <f aca="false">O455*O$470</f>
        <v>24388.56</v>
      </c>
      <c r="P481" s="360" t="n">
        <f aca="false">P455*P$470</f>
        <v>27501.65</v>
      </c>
      <c r="Q481" s="360" t="n">
        <f aca="false">Q455*Q$470</f>
        <v>28550.1</v>
      </c>
      <c r="R481" s="360" t="n">
        <f aca="false">R455*R$470</f>
        <v>31501.89</v>
      </c>
      <c r="S481" s="360" t="n">
        <f aca="false">S455*S$470</f>
        <v>33243.93</v>
      </c>
      <c r="T481" s="360" t="n">
        <f aca="false">T455*T$470</f>
        <v>256645.28</v>
      </c>
      <c r="U481" s="360" t="n">
        <f aca="false">U455*U$470</f>
        <v>204752.52</v>
      </c>
      <c r="V481" s="360" t="n">
        <f aca="false">V455*V$470</f>
        <v>20511</v>
      </c>
      <c r="W481" s="360" t="n">
        <f aca="false">W455*W$470</f>
        <v>0</v>
      </c>
      <c r="X481" s="360" t="n">
        <f aca="false">X455*X$470</f>
        <v>0</v>
      </c>
      <c r="Y481" s="360" t="n">
        <f aca="false">Y455*Y$470</f>
        <v>0</v>
      </c>
    </row>
    <row r="482" customFormat="false" ht="12.75" hidden="false" customHeight="true" outlineLevel="0" collapsed="false">
      <c r="A482" s="370" t="s">
        <v>231</v>
      </c>
      <c r="B482" s="370" t="s">
        <v>425</v>
      </c>
      <c r="C482" s="370" t="s">
        <v>5</v>
      </c>
      <c r="D482" s="370" t="s">
        <v>329</v>
      </c>
      <c r="E482" s="473" t="n">
        <v>24194</v>
      </c>
      <c r="F482" s="473" t="s">
        <v>437</v>
      </c>
      <c r="G482" s="370" t="s">
        <v>413</v>
      </c>
      <c r="H482" s="474"/>
      <c r="I482" s="475" t="n">
        <v>25000</v>
      </c>
      <c r="K482" s="449"/>
      <c r="L482" s="449"/>
      <c r="N482" s="360" t="n">
        <f aca="false">N456*N$470</f>
        <v>0</v>
      </c>
      <c r="O482" s="360" t="n">
        <f aca="false">O456*O$470</f>
        <v>0</v>
      </c>
      <c r="P482" s="360" t="n">
        <f aca="false">P456*P$470</f>
        <v>0</v>
      </c>
      <c r="Q482" s="360" t="n">
        <f aca="false">Q456*Q$470</f>
        <v>0</v>
      </c>
      <c r="R482" s="360" t="n">
        <f aca="false">R456*R$470</f>
        <v>0</v>
      </c>
      <c r="W482" s="373" t="n">
        <f aca="false">W456*W$470</f>
        <v>661850</v>
      </c>
      <c r="X482" s="373" t="n">
        <f aca="false">X456*X$470</f>
        <v>1488000</v>
      </c>
      <c r="Y482" s="373" t="n">
        <f aca="false">Y456*Y$470</f>
        <v>1594640</v>
      </c>
    </row>
    <row r="483" customFormat="false" ht="12.75" hidden="false" customHeight="true" outlineLevel="0" collapsed="false">
      <c r="A483" s="370" t="s">
        <v>231</v>
      </c>
      <c r="B483" s="370" t="s">
        <v>425</v>
      </c>
      <c r="C483" s="370" t="s">
        <v>5</v>
      </c>
      <c r="D483" s="370" t="s">
        <v>329</v>
      </c>
      <c r="E483" s="473" t="n">
        <v>24690</v>
      </c>
      <c r="F483" s="473" t="s">
        <v>430</v>
      </c>
      <c r="G483" s="370" t="s">
        <v>413</v>
      </c>
      <c r="H483" s="474"/>
      <c r="I483" s="475" t="n">
        <v>0</v>
      </c>
      <c r="K483" s="449"/>
      <c r="L483" s="449"/>
      <c r="N483" s="373" t="n">
        <f aca="false">N457*N$470</f>
        <v>0</v>
      </c>
      <c r="O483" s="373" t="n">
        <f aca="false">O457*O$470</f>
        <v>0</v>
      </c>
      <c r="P483" s="373" t="n">
        <f aca="false">P457*P$470</f>
        <v>0</v>
      </c>
      <c r="Q483" s="373" t="n">
        <f aca="false">Q457*Q$470</f>
        <v>0</v>
      </c>
      <c r="R483" s="373" t="n">
        <f aca="false">R457*R$470</f>
        <v>0</v>
      </c>
      <c r="S483" s="373" t="n">
        <f aca="false">S457*S$470</f>
        <v>0</v>
      </c>
      <c r="T483" s="373" t="n">
        <f aca="false">T457*T$470</f>
        <v>0</v>
      </c>
      <c r="U483" s="373" t="n">
        <f aca="false">U457*U$470</f>
        <v>0</v>
      </c>
      <c r="V483" s="373" t="n">
        <f aca="false">V457*V$470</f>
        <v>0</v>
      </c>
      <c r="W483" s="373" t="n">
        <f aca="false">W457*W$470</f>
        <v>0</v>
      </c>
      <c r="X483" s="373" t="n">
        <f aca="false">X457*X$470</f>
        <v>0</v>
      </c>
      <c r="Y483" s="373" t="n">
        <f aca="false">Y457*Y$470</f>
        <v>0</v>
      </c>
    </row>
    <row r="484" customFormat="false" ht="12.75" hidden="false" customHeight="true" outlineLevel="0" collapsed="false">
      <c r="A484" s="370" t="s">
        <v>231</v>
      </c>
      <c r="B484" s="370" t="s">
        <v>425</v>
      </c>
      <c r="C484" s="370" t="s">
        <v>5</v>
      </c>
      <c r="D484" s="370" t="s">
        <v>329</v>
      </c>
      <c r="E484" s="473" t="n">
        <v>24754</v>
      </c>
      <c r="F484" s="473" t="s">
        <v>431</v>
      </c>
      <c r="G484" s="380" t="s">
        <v>421</v>
      </c>
      <c r="H484" s="470" t="n">
        <v>38472</v>
      </c>
      <c r="I484" s="475" t="n">
        <v>1000</v>
      </c>
      <c r="K484" s="449"/>
      <c r="L484" s="449"/>
      <c r="N484" s="360" t="n">
        <f aca="false">N458*N$470</f>
        <v>0</v>
      </c>
      <c r="O484" s="360" t="n">
        <f aca="false">O458*O$470</f>
        <v>0</v>
      </c>
      <c r="P484" s="360" t="n">
        <f aca="false">P458*P$470</f>
        <v>0</v>
      </c>
      <c r="Q484" s="360" t="n">
        <f aca="false">Q458*Q$470</f>
        <v>0</v>
      </c>
      <c r="R484" s="373" t="n">
        <f aca="false">R458*R$470</f>
        <v>19530</v>
      </c>
      <c r="S484" s="373" t="n">
        <f aca="false">S458*S$470</f>
        <v>20610</v>
      </c>
      <c r="T484" s="373" t="n">
        <f aca="false">T458*T$470</f>
        <v>18290</v>
      </c>
      <c r="U484" s="373" t="n">
        <f aca="false">U458*U$470</f>
        <v>19530</v>
      </c>
      <c r="V484" s="373" t="n">
        <f aca="false">V458*V$470</f>
        <v>15900</v>
      </c>
      <c r="W484" s="373" t="n">
        <f aca="false">W458*W$470</f>
        <v>18910</v>
      </c>
      <c r="X484" s="373" t="n">
        <f aca="false">X458*X$470</f>
        <v>18600</v>
      </c>
      <c r="Y484" s="373" t="n">
        <f aca="false">Y458*Y$470</f>
        <v>19933</v>
      </c>
    </row>
    <row r="485" customFormat="false" ht="12.75" hidden="false" customHeight="true" outlineLevel="0" collapsed="false">
      <c r="A485" s="370" t="s">
        <v>231</v>
      </c>
      <c r="B485" s="370" t="s">
        <v>425</v>
      </c>
      <c r="C485" s="370" t="s">
        <v>5</v>
      </c>
      <c r="D485" s="370" t="s">
        <v>329</v>
      </c>
      <c r="E485" s="445" t="n">
        <v>27349</v>
      </c>
      <c r="F485" s="380" t="s">
        <v>357</v>
      </c>
      <c r="G485" s="387" t="n">
        <v>36892</v>
      </c>
      <c r="H485" s="376" t="n">
        <v>38717</v>
      </c>
      <c r="I485" s="381" t="n">
        <v>20000</v>
      </c>
      <c r="K485" s="449"/>
      <c r="L485" s="449"/>
      <c r="N485" s="373" t="n">
        <f aca="false">N459*N$470</f>
        <v>328600</v>
      </c>
      <c r="O485" s="373" t="n">
        <f aca="false">O459*O$470</f>
        <v>302400</v>
      </c>
      <c r="P485" s="373" t="n">
        <f aca="false">P459*P$470</f>
        <v>341000</v>
      </c>
      <c r="Q485" s="373" t="n">
        <f aca="false">Q459*Q$470</f>
        <v>354000</v>
      </c>
      <c r="R485" s="373" t="n">
        <f aca="false">R459*R$470</f>
        <v>390600</v>
      </c>
      <c r="S485" s="373" t="n">
        <f aca="false">S459*S$470</f>
        <v>412200</v>
      </c>
      <c r="T485" s="373" t="n">
        <f aca="false">T459*T$470</f>
        <v>365800</v>
      </c>
      <c r="U485" s="373" t="n">
        <f aca="false">U459*U$470</f>
        <v>390600</v>
      </c>
      <c r="V485" s="373" t="n">
        <f aca="false">V459*V$470</f>
        <v>318000</v>
      </c>
      <c r="W485" s="373" t="n">
        <f aca="false">W459*W$470</f>
        <v>378200</v>
      </c>
      <c r="X485" s="373" t="n">
        <f aca="false">X459*X$470</f>
        <v>372000</v>
      </c>
      <c r="Y485" s="373" t="n">
        <f aca="false">Y459*Y$470</f>
        <v>398660</v>
      </c>
    </row>
    <row r="486" customFormat="false" ht="12.75" hidden="false" customHeight="true" outlineLevel="0" collapsed="false">
      <c r="A486" s="370" t="s">
        <v>231</v>
      </c>
      <c r="B486" s="370" t="s">
        <v>425</v>
      </c>
      <c r="C486" s="370" t="s">
        <v>5</v>
      </c>
      <c r="D486" s="370" t="s">
        <v>329</v>
      </c>
      <c r="E486" s="446" t="n">
        <v>27161</v>
      </c>
      <c r="F486" s="370" t="s">
        <v>434</v>
      </c>
      <c r="G486" s="380" t="s">
        <v>421</v>
      </c>
      <c r="H486" s="471" t="n">
        <v>37711</v>
      </c>
      <c r="I486" s="373" t="n">
        <v>400000</v>
      </c>
      <c r="N486" s="373" t="n">
        <f aca="false">N460*N$470</f>
        <v>0</v>
      </c>
      <c r="O486" s="373" t="n">
        <f aca="false">O460*O$470</f>
        <v>0</v>
      </c>
      <c r="P486" s="373" t="n">
        <f aca="false">P460*P$470</f>
        <v>0</v>
      </c>
      <c r="Q486" s="373" t="n">
        <f aca="false">Q460*Q$470</f>
        <v>0</v>
      </c>
      <c r="R486" s="373" t="n">
        <f aca="false">R460*R$470</f>
        <v>0</v>
      </c>
      <c r="S486" s="373" t="n">
        <f aca="false">S460*S$470</f>
        <v>0</v>
      </c>
      <c r="T486" s="373" t="n">
        <f aca="false">T460*T$470</f>
        <v>0</v>
      </c>
      <c r="U486" s="373" t="n">
        <f aca="false">U460*U$470</f>
        <v>0</v>
      </c>
      <c r="V486" s="373" t="n">
        <f aca="false">V460*V$470</f>
        <v>0</v>
      </c>
      <c r="W486" s="373" t="n">
        <f aca="false">W460*W$470</f>
        <v>0</v>
      </c>
      <c r="X486" s="373" t="n">
        <f aca="false">X460*0.35</f>
        <v>4200000</v>
      </c>
      <c r="Y486" s="373" t="n">
        <f aca="false">Y460*0.35</f>
        <v>4340000</v>
      </c>
    </row>
    <row r="487" customFormat="false" ht="12.75" hidden="false" customHeight="true" outlineLevel="0" collapsed="false">
      <c r="A487" s="370" t="s">
        <v>231</v>
      </c>
      <c r="B487" s="370" t="s">
        <v>425</v>
      </c>
      <c r="C487" s="370" t="s">
        <v>5</v>
      </c>
      <c r="D487" s="370" t="s">
        <v>329</v>
      </c>
      <c r="E487" s="446" t="n">
        <v>26490</v>
      </c>
      <c r="F487" s="370" t="s">
        <v>350</v>
      </c>
      <c r="G487" s="380" t="s">
        <v>421</v>
      </c>
      <c r="H487" s="376" t="n">
        <v>37925</v>
      </c>
      <c r="I487" s="373" t="n">
        <v>40000</v>
      </c>
      <c r="N487" s="373" t="n">
        <f aca="false">N461*N$470</f>
        <v>0</v>
      </c>
      <c r="O487" s="373" t="n">
        <f aca="false">O461*O$470</f>
        <v>0</v>
      </c>
      <c r="P487" s="373" t="n">
        <f aca="false">P461*P$470</f>
        <v>0</v>
      </c>
      <c r="Q487" s="373" t="n">
        <f aca="false">Q461*Q$470</f>
        <v>0</v>
      </c>
      <c r="R487" s="373" t="n">
        <f aca="false">R461*R$470</f>
        <v>0</v>
      </c>
      <c r="S487" s="373" t="n">
        <f aca="false">S461*S$470</f>
        <v>0</v>
      </c>
      <c r="T487" s="373" t="n">
        <f aca="false">T461*T$470</f>
        <v>0</v>
      </c>
      <c r="U487" s="373" t="n">
        <f aca="false">U461*U$470</f>
        <v>0</v>
      </c>
      <c r="V487" s="373" t="n">
        <f aca="false">V461*V$470</f>
        <v>0</v>
      </c>
      <c r="W487" s="373" t="n">
        <f aca="false">W461*W$470</f>
        <v>0</v>
      </c>
      <c r="X487" s="373" t="n">
        <f aca="false">X461*X$470</f>
        <v>744000</v>
      </c>
      <c r="Y487" s="373" t="n">
        <f aca="false">Y461*Y$470</f>
        <v>797320</v>
      </c>
    </row>
    <row r="488" customFormat="false" ht="12.75" hidden="false" customHeight="true" outlineLevel="0" collapsed="false">
      <c r="A488" s="380" t="s">
        <v>231</v>
      </c>
      <c r="B488" s="380" t="s">
        <v>425</v>
      </c>
      <c r="C488" s="380" t="s">
        <v>5</v>
      </c>
      <c r="D488" s="380" t="s">
        <v>329</v>
      </c>
      <c r="E488" s="445" t="n">
        <v>27420</v>
      </c>
      <c r="F488" s="380" t="s">
        <v>438</v>
      </c>
      <c r="G488" s="387" t="n">
        <v>36861</v>
      </c>
      <c r="H488" s="376" t="n">
        <v>37225</v>
      </c>
      <c r="I488" s="381" t="n">
        <v>1932</v>
      </c>
      <c r="M488" s="361" t="s">
        <v>346</v>
      </c>
      <c r="N488" s="381" t="n">
        <f aca="false">N462*N$470</f>
        <v>31742.76</v>
      </c>
      <c r="O488" s="381" t="n">
        <f aca="false">O462*O$470</f>
        <v>29211.84</v>
      </c>
      <c r="P488" s="381" t="n">
        <f aca="false">P462*P$470</f>
        <v>32940.6</v>
      </c>
      <c r="Q488" s="381" t="n">
        <f aca="false">Q462*Q$470</f>
        <v>34196.4</v>
      </c>
      <c r="R488" s="381" t="n">
        <f aca="false">R462*R$470</f>
        <v>37731.96</v>
      </c>
      <c r="S488" s="381" t="n">
        <f aca="false">S462*S$470</f>
        <v>39818.52</v>
      </c>
      <c r="T488" s="381" t="n">
        <f aca="false">T462*T$470</f>
        <v>45725</v>
      </c>
      <c r="U488" s="381" t="n">
        <f aca="false">U462*U$470</f>
        <v>48825</v>
      </c>
      <c r="V488" s="381" t="n">
        <f aca="false">V462*V$470</f>
        <v>39750</v>
      </c>
      <c r="W488" s="381" t="n">
        <f aca="false">W462*W$470</f>
        <v>47275</v>
      </c>
      <c r="X488" s="381" t="n">
        <f aca="false">X462*X$470</f>
        <v>46500</v>
      </c>
      <c r="Y488" s="381" t="n">
        <f aca="false">Y462*Y$470</f>
        <v>0</v>
      </c>
    </row>
    <row r="489" customFormat="false" ht="12.75" hidden="false" customHeight="true" outlineLevel="0" collapsed="false">
      <c r="A489" s="380" t="s">
        <v>231</v>
      </c>
      <c r="B489" s="380" t="s">
        <v>425</v>
      </c>
      <c r="C489" s="380" t="s">
        <v>5</v>
      </c>
      <c r="D489" s="380" t="s">
        <v>329</v>
      </c>
      <c r="E489" s="445" t="n">
        <v>27377</v>
      </c>
      <c r="F489" s="380" t="s">
        <v>350</v>
      </c>
      <c r="G489" s="387" t="n">
        <v>36951</v>
      </c>
      <c r="H489" s="376" t="n">
        <v>37315</v>
      </c>
      <c r="I489" s="381" t="n">
        <v>10000</v>
      </c>
      <c r="M489" s="361" t="s">
        <v>346</v>
      </c>
      <c r="N489" s="381" t="n">
        <f aca="false">N463*N$470</f>
        <v>0</v>
      </c>
      <c r="O489" s="381" t="n">
        <f aca="false">O463*O$470</f>
        <v>0</v>
      </c>
      <c r="P489" s="381" t="n">
        <f aca="false">P463*P$470</f>
        <v>170500</v>
      </c>
      <c r="Q489" s="381" t="n">
        <f aca="false">Q463*Q$470</f>
        <v>177000</v>
      </c>
      <c r="R489" s="381" t="n">
        <f aca="false">R463*R$470</f>
        <v>195300</v>
      </c>
      <c r="S489" s="381" t="n">
        <f aca="false">S463*S$470</f>
        <v>206100</v>
      </c>
      <c r="T489" s="381" t="n">
        <f aca="false">T463*T$470</f>
        <v>182900</v>
      </c>
      <c r="U489" s="381" t="n">
        <f aca="false">U463*U$470</f>
        <v>195300</v>
      </c>
      <c r="V489" s="381" t="n">
        <f aca="false">V463*V$470</f>
        <v>159000</v>
      </c>
      <c r="W489" s="381" t="n">
        <f aca="false">W463*W$470</f>
        <v>189100</v>
      </c>
      <c r="X489" s="381" t="n">
        <f aca="false">X463*X$470</f>
        <v>186000</v>
      </c>
      <c r="Y489" s="381" t="n">
        <f aca="false">Y463*Y$470</f>
        <v>199330</v>
      </c>
    </row>
    <row r="490" customFormat="false" ht="12.75" hidden="false" customHeight="true" outlineLevel="0" collapsed="false">
      <c r="A490" s="380" t="s">
        <v>231</v>
      </c>
      <c r="B490" s="380" t="s">
        <v>425</v>
      </c>
      <c r="C490" s="380" t="s">
        <v>5</v>
      </c>
      <c r="D490" s="380" t="s">
        <v>329</v>
      </c>
      <c r="E490" s="445" t="n">
        <v>27495</v>
      </c>
      <c r="F490" s="380" t="s">
        <v>439</v>
      </c>
      <c r="G490" s="387" t="n">
        <v>36951</v>
      </c>
      <c r="H490" s="376" t="n">
        <v>37711</v>
      </c>
      <c r="I490" s="381" t="n">
        <v>50000</v>
      </c>
      <c r="M490" s="361" t="s">
        <v>346</v>
      </c>
      <c r="N490" s="381" t="n">
        <f aca="false">N464*N$470</f>
        <v>0</v>
      </c>
      <c r="O490" s="381" t="n">
        <f aca="false">O464*O$470</f>
        <v>0</v>
      </c>
      <c r="P490" s="381" t="n">
        <f aca="false">P464*P$470</f>
        <v>852500</v>
      </c>
      <c r="Q490" s="381" t="n">
        <f aca="false">Q464*Q$470</f>
        <v>885000</v>
      </c>
      <c r="R490" s="381" t="n">
        <f aca="false">R464*R$470</f>
        <v>976500</v>
      </c>
      <c r="S490" s="381" t="n">
        <f aca="false">S464*S$470</f>
        <v>1030500</v>
      </c>
      <c r="T490" s="381" t="n">
        <f aca="false">T464*T$470</f>
        <v>914500</v>
      </c>
      <c r="U490" s="381" t="n">
        <f aca="false">U464*U$470</f>
        <v>976500</v>
      </c>
      <c r="V490" s="381" t="n">
        <f aca="false">V464*V$470</f>
        <v>795000</v>
      </c>
      <c r="W490" s="381" t="n">
        <f aca="false">W464*W$470</f>
        <v>945500</v>
      </c>
      <c r="X490" s="381" t="n">
        <f aca="false">X464*X$470</f>
        <v>930000</v>
      </c>
      <c r="Y490" s="381" t="n">
        <f aca="false">Y464*Y$470</f>
        <v>996650</v>
      </c>
    </row>
    <row r="491" customFormat="false" ht="12.75" hidden="false" customHeight="true" outlineLevel="0" collapsed="false">
      <c r="A491" s="389" t="s">
        <v>231</v>
      </c>
      <c r="B491" s="389" t="s">
        <v>425</v>
      </c>
      <c r="C491" s="389" t="s">
        <v>5</v>
      </c>
      <c r="D491" s="389" t="s">
        <v>329</v>
      </c>
      <c r="E491" s="476" t="n">
        <v>27579</v>
      </c>
      <c r="F491" s="389" t="s">
        <v>357</v>
      </c>
      <c r="G491" s="390" t="n">
        <v>37012</v>
      </c>
      <c r="H491" s="391" t="n">
        <v>37407</v>
      </c>
      <c r="I491" s="392" t="n">
        <v>20000</v>
      </c>
      <c r="M491" s="361" t="s">
        <v>346</v>
      </c>
      <c r="N491" s="381"/>
      <c r="O491" s="381"/>
      <c r="P491" s="381"/>
      <c r="Q491" s="381"/>
      <c r="R491" s="392" t="n">
        <f aca="false">R465*R$470</f>
        <v>390600</v>
      </c>
      <c r="S491" s="392" t="n">
        <f aca="false">S465*S$470</f>
        <v>412200</v>
      </c>
      <c r="T491" s="392" t="n">
        <f aca="false">T465*T$470</f>
        <v>365800</v>
      </c>
      <c r="U491" s="392" t="n">
        <f aca="false">U465*U$470</f>
        <v>390600</v>
      </c>
      <c r="V491" s="392" t="n">
        <f aca="false">V465*V$470</f>
        <v>318000</v>
      </c>
      <c r="W491" s="392" t="n">
        <f aca="false">W465*W$470</f>
        <v>378200</v>
      </c>
      <c r="X491" s="392" t="n">
        <f aca="false">X465*X$470</f>
        <v>372000</v>
      </c>
      <c r="Y491" s="392" t="n">
        <f aca="false">Y465*Y$470</f>
        <v>398660</v>
      </c>
    </row>
    <row r="492" customFormat="false" ht="12.75" hidden="false" customHeight="true" outlineLevel="0" collapsed="false">
      <c r="A492" s="380" t="s">
        <v>231</v>
      </c>
      <c r="B492" s="380" t="s">
        <v>425</v>
      </c>
      <c r="C492" s="380" t="s">
        <v>5</v>
      </c>
      <c r="D492" s="380" t="s">
        <v>329</v>
      </c>
      <c r="E492" s="445" t="n">
        <v>27529</v>
      </c>
      <c r="F492" s="380" t="s">
        <v>419</v>
      </c>
      <c r="G492" s="387" t="n">
        <v>36951</v>
      </c>
      <c r="H492" s="376" t="n">
        <v>36981</v>
      </c>
      <c r="I492" s="381" t="n">
        <v>100000</v>
      </c>
      <c r="M492" s="361" t="s">
        <v>346</v>
      </c>
      <c r="P492" s="381" t="n">
        <f aca="false">P466*P$470</f>
        <v>1705000</v>
      </c>
      <c r="X492" s="373"/>
      <c r="Y492" s="373"/>
      <c r="Z492" s="333"/>
      <c r="AA492" s="333"/>
      <c r="AB492" s="333"/>
      <c r="AC492" s="333"/>
      <c r="AD492" s="333"/>
      <c r="AE492" s="333"/>
      <c r="AF492" s="333"/>
      <c r="AG492" s="333"/>
      <c r="AH492" s="333"/>
      <c r="AI492" s="333"/>
      <c r="AJ492" s="333"/>
      <c r="AK492" s="333"/>
      <c r="AL492" s="333"/>
      <c r="AM492" s="333"/>
      <c r="AN492" s="333"/>
      <c r="AO492" s="333"/>
      <c r="AP492" s="333"/>
      <c r="AQ492" s="333"/>
      <c r="AR492" s="333"/>
      <c r="AS492" s="333"/>
      <c r="AT492" s="333"/>
      <c r="AU492" s="333"/>
      <c r="AV492" s="333"/>
      <c r="AW492" s="333"/>
      <c r="AX492" s="333"/>
      <c r="AY492" s="333"/>
      <c r="AZ492" s="333"/>
      <c r="BA492" s="333"/>
      <c r="BB492" s="333"/>
      <c r="BC492" s="333"/>
      <c r="BD492" s="333"/>
    </row>
    <row r="493" customFormat="false" ht="12.75" hidden="false" customHeight="true" outlineLevel="0" collapsed="false">
      <c r="A493" s="380" t="s">
        <v>231</v>
      </c>
      <c r="B493" s="380" t="s">
        <v>425</v>
      </c>
      <c r="C493" s="380" t="s">
        <v>5</v>
      </c>
      <c r="D493" s="380" t="s">
        <v>329</v>
      </c>
      <c r="E493" s="445" t="n">
        <v>27600</v>
      </c>
      <c r="F493" s="380" t="s">
        <v>440</v>
      </c>
      <c r="G493" s="387" t="n">
        <v>37043</v>
      </c>
      <c r="H493" s="376" t="n">
        <v>37407</v>
      </c>
      <c r="I493" s="396" t="n">
        <v>2500</v>
      </c>
      <c r="N493" s="368"/>
      <c r="O493" s="368"/>
      <c r="P493" s="396"/>
      <c r="Q493" s="368"/>
      <c r="R493" s="368"/>
      <c r="S493" s="368"/>
      <c r="T493" s="477" t="n">
        <f aca="false">T467*T$470</f>
        <v>45725</v>
      </c>
      <c r="U493" s="477" t="n">
        <f aca="false">U467*U$470</f>
        <v>48825</v>
      </c>
      <c r="V493" s="477" t="n">
        <f aca="false">V467*V$470</f>
        <v>39750</v>
      </c>
      <c r="W493" s="477" t="n">
        <f aca="false">W467*W$470</f>
        <v>47275</v>
      </c>
      <c r="X493" s="477" t="n">
        <f aca="false">X467*X$470</f>
        <v>46500</v>
      </c>
      <c r="Y493" s="477" t="n">
        <f aca="false">Y467*Y$470</f>
        <v>49832.5</v>
      </c>
    </row>
    <row r="494" customFormat="false" ht="12.75" hidden="false" customHeight="true" outlineLevel="0" collapsed="false">
      <c r="I494" s="360" t="n">
        <f aca="false">SUM(I471:I493)</f>
        <v>1226759</v>
      </c>
      <c r="N494" s="360" t="n">
        <f aca="false">SUM(N471:N492)</f>
        <v>7515245.37</v>
      </c>
      <c r="O494" s="360" t="n">
        <f aca="false">SUM(O471:O492)</f>
        <v>6842076.08</v>
      </c>
      <c r="P494" s="360" t="n">
        <f aca="false">SUM(P471:P492)</f>
        <v>9936815.95</v>
      </c>
      <c r="Q494" s="360" t="n">
        <f aca="false">SUM(Q471:Q492)</f>
        <v>7974684.3</v>
      </c>
      <c r="R494" s="360" t="n">
        <f aca="false">SUM(R471:R492)</f>
        <v>8602598.27</v>
      </c>
      <c r="S494" s="360" t="n">
        <f aca="false">SUM(S471:S492)</f>
        <v>8698317.99</v>
      </c>
      <c r="T494" s="360" t="n">
        <f aca="false">SUM(T471:T493)</f>
        <v>8615214.34</v>
      </c>
      <c r="U494" s="360" t="n">
        <f aca="false">SUM(U471:U493)</f>
        <v>8835766.94</v>
      </c>
      <c r="V494" s="360" t="n">
        <f aca="false">SUM(V471:V493)</f>
        <v>7146111</v>
      </c>
      <c r="W494" s="360" t="n">
        <f aca="false">SUM(W471:W493)</f>
        <v>8292190</v>
      </c>
      <c r="X494" s="360" t="n">
        <f aca="false">SUM(X471:X493)</f>
        <v>8924400</v>
      </c>
      <c r="Y494" s="360" t="n">
        <f aca="false">SUM(Y471:Y493)</f>
        <v>10065036.662</v>
      </c>
    </row>
    <row r="496" customFormat="false" ht="12.75" hidden="false" customHeight="true" outlineLevel="0" collapsed="false">
      <c r="A496" s="294" t="s">
        <v>231</v>
      </c>
      <c r="B496" s="294" t="s">
        <v>425</v>
      </c>
      <c r="C496" s="294" t="s">
        <v>6</v>
      </c>
      <c r="D496" s="294" t="s">
        <v>332</v>
      </c>
      <c r="E496" s="462" t="n">
        <v>24194</v>
      </c>
      <c r="F496" s="462" t="s">
        <v>426</v>
      </c>
      <c r="H496" s="463" t="n">
        <v>37164</v>
      </c>
      <c r="I496" s="464"/>
      <c r="K496" s="449" t="n">
        <v>0.1007</v>
      </c>
      <c r="L496" s="465" t="n">
        <v>0.0093</v>
      </c>
      <c r="M496" s="361" t="s">
        <v>427</v>
      </c>
      <c r="N496" s="360" t="n">
        <f aca="false">N445*($K496+$L496)-N521</f>
        <v>130288.04</v>
      </c>
      <c r="O496" s="360" t="n">
        <f aca="false">O445*($K496+$L496)-O521</f>
        <v>117575.36</v>
      </c>
      <c r="P496" s="360" t="n">
        <f aca="false">P445*($K496+$L496)-P521</f>
        <v>81285.875</v>
      </c>
      <c r="Q496" s="360" t="n">
        <f aca="false">Q445*($K496+$L496)-Q521</f>
        <v>78384.75</v>
      </c>
      <c r="R496" s="360" t="n">
        <f aca="false">R445*($K496+$L496)-R521</f>
        <v>32283.71</v>
      </c>
      <c r="S496" s="360" t="n">
        <f aca="false">S445*($K496+$L496)-S521</f>
        <v>31083.27</v>
      </c>
      <c r="T496" s="360" t="n">
        <f aca="false">T445*($K496+$L496)-T521</f>
        <v>32399.03</v>
      </c>
      <c r="U496" s="360" t="n">
        <f aca="false">U445*($K496+$L496)-U521</f>
        <v>32283.71</v>
      </c>
      <c r="V496" s="360" t="n">
        <f aca="false">V445*($K496+$L496)-V521</f>
        <v>31521.3</v>
      </c>
      <c r="W496" s="360" t="n">
        <f aca="false">W445*($K496+$L496)-W521</f>
        <v>0</v>
      </c>
      <c r="X496" s="360" t="n">
        <f aca="false">X445*($K496+$L496)-X521</f>
        <v>0</v>
      </c>
      <c r="Y496" s="360" t="n">
        <f aca="false">Y445*($K496+$L496)-Y521</f>
        <v>0</v>
      </c>
    </row>
    <row r="497" customFormat="false" ht="12.75" hidden="false" customHeight="true" outlineLevel="0" collapsed="false">
      <c r="A497" s="294" t="s">
        <v>231</v>
      </c>
      <c r="B497" s="294" t="s">
        <v>425</v>
      </c>
      <c r="C497" s="294" t="s">
        <v>6</v>
      </c>
      <c r="D497" s="294" t="s">
        <v>332</v>
      </c>
      <c r="E497" s="462" t="n">
        <v>27291</v>
      </c>
      <c r="F497" s="462" t="s">
        <v>357</v>
      </c>
      <c r="G497" s="375" t="n">
        <v>36739</v>
      </c>
      <c r="H497" s="463" t="n">
        <v>37468</v>
      </c>
      <c r="I497" s="464"/>
      <c r="K497" s="449" t="n">
        <v>0.0107</v>
      </c>
      <c r="L497" s="465" t="n">
        <v>0.0093</v>
      </c>
      <c r="M497" s="361" t="s">
        <v>346</v>
      </c>
      <c r="N497" s="360" t="n">
        <f aca="false">N446*($K497+$L497)-N522</f>
        <v>9344.02</v>
      </c>
      <c r="O497" s="360" t="n">
        <f aca="false">O446*($K497+$L497)-O522</f>
        <v>8387.68</v>
      </c>
      <c r="P497" s="360" t="n">
        <f aca="false">P446*($K497+$L497)-P522</f>
        <v>9228.7</v>
      </c>
      <c r="Q497" s="360" t="n">
        <f aca="false">Q446*($K497+$L497)-Q522</f>
        <v>8707.8</v>
      </c>
      <c r="R497" s="360" t="n">
        <f aca="false">R446*($K497+$L497)-R522</f>
        <v>8767.42</v>
      </c>
      <c r="S497" s="360" t="n">
        <f aca="false">S446*($K497+$L497)-S522</f>
        <v>8166.54</v>
      </c>
      <c r="T497" s="360" t="n">
        <f aca="false">T446*($K497+$L497)-T522</f>
        <v>8998.06</v>
      </c>
      <c r="U497" s="360" t="n">
        <f aca="false">U446*(0.0157+$L497)-U522</f>
        <v>11867.42</v>
      </c>
      <c r="V497" s="360" t="n">
        <f aca="false">V446*(0.0157+$L497)-V522</f>
        <v>12042.6</v>
      </c>
      <c r="W497" s="360" t="n">
        <f aca="false">W446*(0.0157+$L497)-W522</f>
        <v>11982.74</v>
      </c>
      <c r="X497" s="360" t="n">
        <f aca="false">X446*(0.0157+$L497)-X522</f>
        <v>11540.4</v>
      </c>
      <c r="Y497" s="360" t="n">
        <f aca="false">Y446*(0.0157+$L497)-Y522</f>
        <v>11792.462</v>
      </c>
    </row>
    <row r="498" customFormat="false" ht="12.75" hidden="false" customHeight="true" outlineLevel="0" collapsed="false">
      <c r="A498" s="294" t="s">
        <v>231</v>
      </c>
      <c r="B498" s="294" t="s">
        <v>425</v>
      </c>
      <c r="C498" s="294" t="s">
        <v>6</v>
      </c>
      <c r="D498" s="294" t="s">
        <v>332</v>
      </c>
      <c r="E498" s="462" t="s">
        <v>428</v>
      </c>
      <c r="F498" s="462" t="s">
        <v>429</v>
      </c>
      <c r="H498" s="463" t="n">
        <v>37376</v>
      </c>
      <c r="I498" s="464"/>
      <c r="K498" s="449" t="n">
        <v>0.0957</v>
      </c>
      <c r="L498" s="465" t="n">
        <v>0.0093</v>
      </c>
      <c r="M498" s="361" t="s">
        <v>346</v>
      </c>
      <c r="N498" s="360" t="n">
        <f aca="false">N447*($K498+$L498)-N523</f>
        <v>110792.006514</v>
      </c>
      <c r="O498" s="360" t="n">
        <f aca="false">O447*($K498+$L498)-O523</f>
        <v>99977.200176</v>
      </c>
      <c r="P498" s="360" t="n">
        <f aca="false">P447*($K498+$L498)-P523</f>
        <v>110586.07959</v>
      </c>
      <c r="Q498" s="360" t="n">
        <f aca="false">Q447*($K498+$L498)-Q523</f>
        <v>106620.21846</v>
      </c>
      <c r="R498" s="360" t="n">
        <f aca="false">R447*($K498+$L498)-R523</f>
        <v>109762.371894</v>
      </c>
      <c r="S498" s="360" t="n">
        <f aca="false">S447*($K498+$L498)-S523</f>
        <v>105653.690478</v>
      </c>
      <c r="T498" s="360" t="n">
        <f aca="false">T447*($K498+$L498)-T523</f>
        <v>110174.225742</v>
      </c>
      <c r="U498" s="360" t="n">
        <f aca="false">U447*($K498+$L498)-U523</f>
        <v>109762.371894</v>
      </c>
      <c r="V498" s="360" t="n">
        <f aca="false">V447*($K498+$L498)-V523</f>
        <v>0</v>
      </c>
      <c r="W498" s="360" t="n">
        <f aca="false">W447*($K498+$L498)-W523</f>
        <v>0</v>
      </c>
      <c r="X498" s="360" t="n">
        <f aca="false">X447*($K498+$L498)-X523</f>
        <v>0</v>
      </c>
      <c r="Y498" s="360" t="n">
        <f aca="false">Y447*($K498+$L498)-Y523</f>
        <v>109628.5193934</v>
      </c>
    </row>
    <row r="499" customFormat="false" ht="12.75" hidden="false" customHeight="true" outlineLevel="0" collapsed="false">
      <c r="A499" s="294" t="s">
        <v>231</v>
      </c>
      <c r="B499" s="294" t="s">
        <v>425</v>
      </c>
      <c r="C499" s="294" t="s">
        <v>6</v>
      </c>
      <c r="D499" s="294" t="s">
        <v>332</v>
      </c>
      <c r="E499" s="466" t="n">
        <v>24690</v>
      </c>
      <c r="F499" s="466" t="s">
        <v>430</v>
      </c>
      <c r="H499" s="467" t="n">
        <v>36981</v>
      </c>
      <c r="I499" s="468"/>
      <c r="K499" s="449" t="n">
        <v>0.0607</v>
      </c>
      <c r="L499" s="449" t="n">
        <v>0.0093</v>
      </c>
      <c r="M499" s="361" t="s">
        <v>427</v>
      </c>
      <c r="N499" s="360" t="n">
        <f aca="false">N448*($K499+$L499)-N524</f>
        <v>30258.015</v>
      </c>
      <c r="O499" s="360" t="n">
        <f aca="false">O448*($K499+$L499)-O524</f>
        <v>27290.76</v>
      </c>
      <c r="P499" s="360" t="n">
        <f aca="false">P448*($K499+$L499)-P524</f>
        <v>30171.525</v>
      </c>
      <c r="Q499" s="360" t="n">
        <f aca="false">Q448*($K499+$L499)-Q524</f>
        <v>0</v>
      </c>
      <c r="R499" s="360" t="n">
        <f aca="false">R448*($K499+$L499)-R524</f>
        <v>0</v>
      </c>
      <c r="S499" s="360" t="n">
        <f aca="false">S448*($K499+$L499)-S524</f>
        <v>0</v>
      </c>
      <c r="T499" s="360" t="n">
        <f aca="false">T448*($K499+$L499)-T524</f>
        <v>0</v>
      </c>
      <c r="U499" s="360" t="n">
        <f aca="false">U448*($K499+$L499)-U524</f>
        <v>0</v>
      </c>
      <c r="V499" s="360" t="n">
        <f aca="false">V448*($K499+$L499)-V524</f>
        <v>0</v>
      </c>
      <c r="W499" s="360" t="n">
        <f aca="false">W448*($K499+$L499)-W524</f>
        <v>0</v>
      </c>
      <c r="X499" s="360" t="n">
        <f aca="false">X448*($K499+$L499)-X524</f>
        <v>0</v>
      </c>
      <c r="Y499" s="360" t="n">
        <f aca="false">Y448*($K499+$L499)-Y524</f>
        <v>0</v>
      </c>
    </row>
    <row r="500" customFormat="false" ht="12.75" hidden="false" customHeight="true" outlineLevel="0" collapsed="false">
      <c r="A500" s="294" t="s">
        <v>231</v>
      </c>
      <c r="B500" s="294" t="s">
        <v>425</v>
      </c>
      <c r="C500" s="294" t="s">
        <v>6</v>
      </c>
      <c r="D500" s="294" t="s">
        <v>332</v>
      </c>
      <c r="E500" s="466" t="n">
        <v>26740</v>
      </c>
      <c r="F500" s="466" t="s">
        <v>409</v>
      </c>
      <c r="H500" s="469" t="n">
        <v>39113</v>
      </c>
      <c r="I500" s="468"/>
      <c r="K500" s="449" t="n">
        <v>0.0407</v>
      </c>
      <c r="L500" s="449" t="n">
        <v>0.0093</v>
      </c>
      <c r="M500" s="361" t="s">
        <v>346</v>
      </c>
      <c r="N500" s="360" t="n">
        <f aca="false">N449*($K500+$L500)-N525</f>
        <v>11177.608</v>
      </c>
      <c r="O500" s="360" t="n">
        <f aca="false">O449*($K500+$L500)-O525</f>
        <v>10075.072</v>
      </c>
      <c r="P500" s="360" t="n">
        <f aca="false">P449*($K500+$L500)-P525</f>
        <v>11131.48</v>
      </c>
      <c r="Q500" s="360" t="n">
        <f aca="false">Q449*($K500+$L500)-Q525</f>
        <v>10683.12</v>
      </c>
      <c r="R500" s="360" t="n">
        <f aca="false">R449*($K500+$L500)-R525</f>
        <v>10946.968</v>
      </c>
      <c r="S500" s="360" t="n">
        <f aca="false">S449*($K500+$L500)-S525</f>
        <v>10466.616</v>
      </c>
      <c r="T500" s="360" t="n">
        <f aca="false">T449*($K500+$L500)-T525</f>
        <v>11039.224</v>
      </c>
      <c r="U500" s="360" t="n">
        <f aca="false">U449*($K500+$L500)-U525</f>
        <v>10946.968</v>
      </c>
      <c r="V500" s="360" t="n">
        <f aca="false">V449*($K500+$L500)-V525</f>
        <v>10817.04</v>
      </c>
      <c r="W500" s="360" t="n">
        <f aca="false">W449*($K500+$L500)-W525</f>
        <v>10993.096</v>
      </c>
      <c r="X500" s="360" t="n">
        <f aca="false">X449*($K500+$L500)-X525</f>
        <v>10616.16</v>
      </c>
      <c r="Y500" s="360" t="n">
        <f aca="false">Y449*($K500+$L500)-Y525</f>
        <v>10916.9848</v>
      </c>
    </row>
    <row r="501" customFormat="false" ht="12.75" hidden="false" customHeight="true" outlineLevel="0" collapsed="false">
      <c r="A501" s="294" t="s">
        <v>231</v>
      </c>
      <c r="B501" s="294" t="s">
        <v>425</v>
      </c>
      <c r="C501" s="294" t="s">
        <v>6</v>
      </c>
      <c r="D501" s="294" t="s">
        <v>332</v>
      </c>
      <c r="E501" s="466" t="n">
        <v>24754</v>
      </c>
      <c r="F501" s="466" t="s">
        <v>431</v>
      </c>
      <c r="H501" s="470" t="n">
        <v>38472</v>
      </c>
      <c r="I501" s="468"/>
      <c r="K501" s="449" t="n">
        <v>0.0907</v>
      </c>
      <c r="L501" s="449" t="n">
        <v>0.0093</v>
      </c>
      <c r="M501" s="361" t="s">
        <v>352</v>
      </c>
      <c r="N501" s="360" t="n">
        <f aca="false">N450*($K501+$L501)-N526</f>
        <v>2947.201</v>
      </c>
      <c r="O501" s="360" t="n">
        <f aca="false">O450*($K501+$L501)-O526</f>
        <v>2659.384</v>
      </c>
      <c r="P501" s="360" t="n">
        <f aca="false">P450*($K501+$L501)-P526</f>
        <v>2941.435</v>
      </c>
      <c r="Q501" s="360" t="n">
        <f aca="false">Q450*($K501+$L501)-Q526</f>
        <v>2835.39</v>
      </c>
      <c r="R501" s="360" t="n">
        <f aca="false">R450*($K501+$L501)-R526</f>
        <v>0</v>
      </c>
      <c r="S501" s="360" t="n">
        <f aca="false">S450*($K501+$L501)-S526</f>
        <v>0</v>
      </c>
      <c r="T501" s="360" t="n">
        <f aca="false">T450*($K501+$L501)-T526</f>
        <v>0</v>
      </c>
      <c r="U501" s="360" t="n">
        <f aca="false">U450*($K501+$L501)-U526</f>
        <v>0</v>
      </c>
      <c r="V501" s="360" t="n">
        <f aca="false">V450*($K501+$L501)-V526</f>
        <v>0</v>
      </c>
      <c r="W501" s="360" t="n">
        <f aca="false">W450*($K501+$L501)-W526</f>
        <v>0</v>
      </c>
      <c r="X501" s="360" t="n">
        <f aca="false">X450*($K501+$L501)-X526</f>
        <v>0</v>
      </c>
      <c r="Y501" s="360" t="n">
        <f aca="false">Y450*($K501+$L501)-Y526</f>
        <v>0</v>
      </c>
    </row>
    <row r="502" customFormat="false" ht="12.75" hidden="false" customHeight="true" outlineLevel="0" collapsed="false">
      <c r="A502" s="294" t="s">
        <v>231</v>
      </c>
      <c r="B502" s="294" t="s">
        <v>425</v>
      </c>
      <c r="C502" s="294" t="s">
        <v>6</v>
      </c>
      <c r="D502" s="294" t="s">
        <v>332</v>
      </c>
      <c r="E502" s="466" t="n">
        <v>25031</v>
      </c>
      <c r="F502" s="466" t="s">
        <v>432</v>
      </c>
      <c r="H502" s="469" t="n">
        <v>39051</v>
      </c>
      <c r="I502" s="468"/>
      <c r="K502" s="294"/>
      <c r="N502" s="360" t="n">
        <f aca="false">N451*($K502+$L502)-N527</f>
        <v>0</v>
      </c>
      <c r="O502" s="360" t="n">
        <f aca="false">O451*($K502+$L502)-O527</f>
        <v>0</v>
      </c>
      <c r="P502" s="360" t="n">
        <f aca="false">P451*($K502+$L502)-P527</f>
        <v>0</v>
      </c>
      <c r="Q502" s="360" t="n">
        <f aca="false">Q451*($K502+$L502)-Q527</f>
        <v>0</v>
      </c>
      <c r="R502" s="360" t="n">
        <f aca="false">R451*($K502+$L502)-R527</f>
        <v>0</v>
      </c>
      <c r="S502" s="360" t="n">
        <f aca="false">S451*($K502+$L502)-S527</f>
        <v>0</v>
      </c>
      <c r="T502" s="360" t="n">
        <f aca="false">T451*($K502+$L502)-T527</f>
        <v>0</v>
      </c>
      <c r="U502" s="360" t="n">
        <f aca="false">U451*($K502+$L502)-U527</f>
        <v>0</v>
      </c>
      <c r="V502" s="360" t="n">
        <f aca="false">V451*($K502+$L502)-V527</f>
        <v>0</v>
      </c>
      <c r="W502" s="360" t="n">
        <f aca="false">W451*($K502+$L502)-W527</f>
        <v>0</v>
      </c>
      <c r="X502" s="360" t="n">
        <f aca="false">X451*($K502+$L502)-X527</f>
        <v>0</v>
      </c>
      <c r="Y502" s="360" t="n">
        <f aca="false">Y451*($K502+$L502)-Y527</f>
        <v>0</v>
      </c>
    </row>
    <row r="503" customFormat="false" ht="12.75" hidden="false" customHeight="true" outlineLevel="0" collapsed="false">
      <c r="A503" s="294" t="s">
        <v>231</v>
      </c>
      <c r="B503" s="294" t="s">
        <v>425</v>
      </c>
      <c r="C503" s="294" t="s">
        <v>6</v>
      </c>
      <c r="D503" s="294" t="s">
        <v>332</v>
      </c>
      <c r="E503" s="466" t="s">
        <v>433</v>
      </c>
      <c r="F503" s="466" t="s">
        <v>357</v>
      </c>
      <c r="H503" s="467" t="n">
        <v>36950</v>
      </c>
      <c r="I503" s="468"/>
      <c r="K503" s="449" t="n">
        <v>0.0107</v>
      </c>
      <c r="L503" s="449" t="n">
        <v>0.0093</v>
      </c>
      <c r="M503" s="361" t="s">
        <v>346</v>
      </c>
      <c r="N503" s="360" t="n">
        <f aca="false">N452*($K503+$L503)-N528</f>
        <v>4672.01</v>
      </c>
      <c r="O503" s="360" t="n">
        <f aca="false">O452*($K503+$L503)-O528</f>
        <v>4193.84</v>
      </c>
      <c r="P503" s="360" t="n">
        <f aca="false">P452*($K503+$L503)-P528</f>
        <v>0</v>
      </c>
      <c r="Q503" s="360" t="n">
        <f aca="false">Q452*($K503+$L503)-Q528</f>
        <v>0</v>
      </c>
      <c r="R503" s="360" t="n">
        <f aca="false">R452*($K503+$L503)-R528</f>
        <v>0</v>
      </c>
      <c r="S503" s="360" t="n">
        <f aca="false">S452*($K503+$L503)-S528</f>
        <v>0</v>
      </c>
      <c r="T503" s="360" t="n">
        <f aca="false">T452*($K503+$L503)-T528</f>
        <v>0</v>
      </c>
      <c r="U503" s="360" t="n">
        <f aca="false">U452*($K503+$L503)-U528</f>
        <v>0</v>
      </c>
      <c r="V503" s="360" t="n">
        <f aca="false">V452*($K503+$L503)-V528</f>
        <v>0</v>
      </c>
      <c r="W503" s="360" t="n">
        <f aca="false">W452*($K503+$L503)-W528</f>
        <v>0</v>
      </c>
      <c r="X503" s="360" t="n">
        <f aca="false">X452*($K503+$L503)-X528</f>
        <v>0</v>
      </c>
      <c r="Y503" s="360" t="n">
        <f aca="false">Y452*($K503+$L503)-Y528</f>
        <v>0</v>
      </c>
    </row>
    <row r="504" customFormat="false" ht="12.75" hidden="false" customHeight="true" outlineLevel="0" collapsed="false">
      <c r="A504" s="294" t="s">
        <v>231</v>
      </c>
      <c r="B504" s="294" t="s">
        <v>425</v>
      </c>
      <c r="C504" s="294" t="s">
        <v>6</v>
      </c>
      <c r="D504" s="294" t="s">
        <v>332</v>
      </c>
      <c r="E504" s="466" t="n">
        <v>27161</v>
      </c>
      <c r="F504" s="466" t="s">
        <v>434</v>
      </c>
      <c r="H504" s="471" t="n">
        <v>37711</v>
      </c>
      <c r="I504" s="472"/>
      <c r="K504" s="449" t="n">
        <v>0.0075</v>
      </c>
      <c r="L504" s="449" t="n">
        <v>0.0093</v>
      </c>
      <c r="M504" s="361" t="s">
        <v>352</v>
      </c>
      <c r="N504" s="360" t="n">
        <f aca="false">N453*($K504)</f>
        <v>93000</v>
      </c>
      <c r="O504" s="360" t="n">
        <f aca="false">O453*($K504)</f>
        <v>84000</v>
      </c>
      <c r="P504" s="360" t="n">
        <f aca="false">P453*($K504)</f>
        <v>93000</v>
      </c>
      <c r="Q504" s="360" t="n">
        <f aca="false">Q453*($K504)</f>
        <v>90000</v>
      </c>
      <c r="R504" s="360" t="n">
        <f aca="false">R453*($K504)</f>
        <v>93000</v>
      </c>
      <c r="S504" s="360" t="n">
        <f aca="false">S453*($K504)</f>
        <v>90000</v>
      </c>
      <c r="T504" s="360" t="n">
        <f aca="false">T453*($K504)</f>
        <v>93000</v>
      </c>
      <c r="U504" s="360" t="n">
        <f aca="false">U453*($K504)</f>
        <v>93000</v>
      </c>
      <c r="V504" s="360" t="n">
        <f aca="false">V453*($K504)</f>
        <v>90000</v>
      </c>
      <c r="W504" s="360" t="n">
        <f aca="false">W453*($K504)</f>
        <v>93000</v>
      </c>
      <c r="X504" s="360" t="n">
        <f aca="false">X453*($K504+$L504)-X529</f>
        <v>0</v>
      </c>
      <c r="Y504" s="360" t="n">
        <f aca="false">Y453*($K504+$L504)-Y529</f>
        <v>0</v>
      </c>
    </row>
    <row r="505" customFormat="false" ht="12.75" hidden="false" customHeight="true" outlineLevel="0" collapsed="false">
      <c r="A505" s="294" t="s">
        <v>231</v>
      </c>
      <c r="B505" s="294" t="s">
        <v>425</v>
      </c>
      <c r="C505" s="294" t="s">
        <v>6</v>
      </c>
      <c r="D505" s="294" t="s">
        <v>332</v>
      </c>
      <c r="E505" s="466" t="s">
        <v>435</v>
      </c>
      <c r="F505" s="466" t="s">
        <v>350</v>
      </c>
      <c r="H505" s="376" t="n">
        <v>37925</v>
      </c>
      <c r="I505" s="472"/>
      <c r="K505" s="449" t="n">
        <v>0.0507</v>
      </c>
      <c r="L505" s="449" t="n">
        <v>0.0093</v>
      </c>
      <c r="M505" s="361" t="s">
        <v>346</v>
      </c>
      <c r="N505" s="360" t="n">
        <f aca="false">N454*($K505+$L505)-N530</f>
        <v>68288.04</v>
      </c>
      <c r="O505" s="360" t="n">
        <f aca="false">O454*($K505+$L505)-O530</f>
        <v>61575.36</v>
      </c>
      <c r="P505" s="360" t="n">
        <f aca="false">P454*($K505+$L505)-P530</f>
        <v>68057.4</v>
      </c>
      <c r="Q505" s="360" t="n">
        <f aca="false">Q454*($K505+$L505)-Q530</f>
        <v>65415.6</v>
      </c>
      <c r="R505" s="360" t="n">
        <f aca="false">R454*($K505+$L505)-R530</f>
        <v>67134.84</v>
      </c>
      <c r="S505" s="360" t="n">
        <f aca="false">S454*($K505+$L505)-S530</f>
        <v>64333.08</v>
      </c>
      <c r="T505" s="360" t="n">
        <f aca="false">T454*($K505+$L505)-T530</f>
        <v>67596.12</v>
      </c>
      <c r="U505" s="360" t="n">
        <f aca="false">U454*($K505+$L505)-U530</f>
        <v>67134.84</v>
      </c>
      <c r="V505" s="360" t="n">
        <f aca="false">V454*($K505+$L505)-V530</f>
        <v>66085.2</v>
      </c>
      <c r="W505" s="360" t="n">
        <f aca="false">W454*($K505+$L505)-W530</f>
        <v>67365.48</v>
      </c>
      <c r="X505" s="360" t="n">
        <f aca="false">X454*($K505+$L505)-X530</f>
        <v>0</v>
      </c>
      <c r="Y505" s="360" t="n">
        <f aca="false">Y454*($K505+$L505)-Y530</f>
        <v>0</v>
      </c>
    </row>
    <row r="506" customFormat="false" ht="12.75" hidden="false" customHeight="true" outlineLevel="0" collapsed="false">
      <c r="A506" s="294" t="s">
        <v>231</v>
      </c>
      <c r="B506" s="294" t="s">
        <v>425</v>
      </c>
      <c r="C506" s="294" t="s">
        <v>6</v>
      </c>
      <c r="D506" s="294" t="s">
        <v>332</v>
      </c>
      <c r="E506" s="466" t="n">
        <v>27104</v>
      </c>
      <c r="F506" s="466" t="s">
        <v>436</v>
      </c>
      <c r="H506" s="467" t="n">
        <v>37652</v>
      </c>
      <c r="I506" s="472"/>
      <c r="K506" s="449" t="n">
        <v>0.0407</v>
      </c>
      <c r="L506" s="449" t="n">
        <v>0.0033</v>
      </c>
      <c r="M506" s="361" t="s">
        <v>346</v>
      </c>
      <c r="N506" s="360" t="n">
        <f aca="false">N455*($K506+$L506)-N531</f>
        <v>2112.676753</v>
      </c>
      <c r="O506" s="360" t="n">
        <f aca="false">O455*($K506+$L506)-O531</f>
        <v>1906.733752</v>
      </c>
      <c r="P506" s="360" t="n">
        <f aca="false">P455*($K506+$L506)-P531</f>
        <v>2109.376555</v>
      </c>
      <c r="Q506" s="360" t="n">
        <f aca="false">Q455*($K506+$L506)-Q531</f>
        <v>2034.94467</v>
      </c>
      <c r="R506" s="360" t="n">
        <f aca="false">R455*($K506+$L506)-R531</f>
        <v>2096.175763</v>
      </c>
      <c r="S506" s="360" t="n">
        <f aca="false">S455*($K506+$L506)-S531</f>
        <v>2019.455031</v>
      </c>
      <c r="T506" s="360" t="n">
        <f aca="false">T455*($K506+$L506)-T531</f>
        <v>18292.718576</v>
      </c>
      <c r="U506" s="360" t="n">
        <f aca="false">U455*($K506+$L506)-U531</f>
        <v>13624.492684</v>
      </c>
      <c r="V506" s="360" t="n">
        <f aca="false">V455*($K506+$L506)-V531</f>
        <v>1635.1137</v>
      </c>
      <c r="W506" s="360" t="n">
        <f aca="false">W455*($K506+$L506)-W531</f>
        <v>0</v>
      </c>
      <c r="X506" s="360" t="n">
        <f aca="false">X455*($K506+$L506)-X531</f>
        <v>0</v>
      </c>
      <c r="Y506" s="360" t="n">
        <f aca="false">Y455*($K506+$L506)-Y531</f>
        <v>0</v>
      </c>
    </row>
    <row r="507" customFormat="false" ht="12.75" hidden="false" customHeight="true" outlineLevel="0" collapsed="false">
      <c r="A507" s="370" t="s">
        <v>231</v>
      </c>
      <c r="B507" s="370" t="s">
        <v>425</v>
      </c>
      <c r="C507" s="370" t="s">
        <v>6</v>
      </c>
      <c r="D507" s="370" t="s">
        <v>332</v>
      </c>
      <c r="E507" s="473" t="n">
        <v>24194</v>
      </c>
      <c r="F507" s="473" t="s">
        <v>437</v>
      </c>
      <c r="G507" s="370" t="s">
        <v>413</v>
      </c>
      <c r="H507" s="474"/>
      <c r="I507" s="472"/>
      <c r="K507" s="457" t="n">
        <v>0.0707</v>
      </c>
      <c r="L507" s="479" t="n">
        <v>0.0093</v>
      </c>
      <c r="M507" s="382" t="s">
        <v>346</v>
      </c>
      <c r="N507" s="373" t="n">
        <f aca="false">N456*($K507+$L507)-N532</f>
        <v>0</v>
      </c>
      <c r="O507" s="373" t="n">
        <f aca="false">O456*($K507+$L507)-O532</f>
        <v>0</v>
      </c>
      <c r="P507" s="373" t="n">
        <f aca="false">P456*($K507+$L507)-P532</f>
        <v>0</v>
      </c>
      <c r="Q507" s="373" t="n">
        <f aca="false">Q456*($K507+$L507)-Q532</f>
        <v>0</v>
      </c>
      <c r="R507" s="373" t="n">
        <f aca="false">R456*($K507+$L507)-R532</f>
        <v>0</v>
      </c>
      <c r="S507" s="373" t="n">
        <f aca="false">S456*($K507+$L507)-S532</f>
        <v>0</v>
      </c>
      <c r="T507" s="373" t="n">
        <f aca="false">T456*($K507+$L507)-T532</f>
        <v>0</v>
      </c>
      <c r="U507" s="373" t="n">
        <f aca="false">U456*($K507+$L507)-U532</f>
        <v>0</v>
      </c>
      <c r="V507" s="373" t="n">
        <f aca="false">V456*($K507+$L507)-V532</f>
        <v>0</v>
      </c>
      <c r="W507" s="373" t="n">
        <f aca="false">W456*($K507+$L507)-W532</f>
        <v>80644.795</v>
      </c>
      <c r="X507" s="373" t="n">
        <f aca="false">X456*($K507+$L507)-X532</f>
        <v>178161.6</v>
      </c>
      <c r="Y507" s="373" t="n">
        <f aca="false">Y456*($K507+$L507)-Y532</f>
        <v>183569.848</v>
      </c>
      <c r="AC507" s="417" t="n">
        <f aca="false">SUM(N507:Y507)</f>
        <v>442376.243</v>
      </c>
    </row>
    <row r="508" customFormat="false" ht="12.75" hidden="false" customHeight="true" outlineLevel="0" collapsed="false">
      <c r="A508" s="370" t="s">
        <v>231</v>
      </c>
      <c r="B508" s="370" t="s">
        <v>425</v>
      </c>
      <c r="C508" s="370" t="s">
        <v>6</v>
      </c>
      <c r="D508" s="370" t="s">
        <v>332</v>
      </c>
      <c r="E508" s="473" t="n">
        <v>24690</v>
      </c>
      <c r="F508" s="473" t="s">
        <v>430</v>
      </c>
      <c r="G508" s="370" t="s">
        <v>413</v>
      </c>
      <c r="H508" s="474"/>
      <c r="I508" s="472"/>
      <c r="K508" s="457" t="n">
        <v>0.0257</v>
      </c>
      <c r="L508" s="457" t="n">
        <v>0.0093</v>
      </c>
      <c r="M508" s="382" t="s">
        <v>346</v>
      </c>
      <c r="N508" s="373" t="n">
        <f aca="false">N457*($K508+$L508)-N533</f>
        <v>0</v>
      </c>
      <c r="O508" s="373" t="n">
        <f aca="false">O457*($K508+$L508)-O533</f>
        <v>0</v>
      </c>
      <c r="P508" s="373" t="n">
        <f aca="false">P457*($K508+$L508)-P533</f>
        <v>0</v>
      </c>
      <c r="Q508" s="373" t="n">
        <f aca="false">Q457*($K508+$L508)-Q533</f>
        <v>0</v>
      </c>
      <c r="R508" s="373" t="n">
        <f aca="false">R457*($K508+$L508)-R533</f>
        <v>0</v>
      </c>
      <c r="S508" s="373" t="n">
        <f aca="false">S457*($K508+$L508)-S533</f>
        <v>0</v>
      </c>
      <c r="T508" s="373" t="n">
        <f aca="false">T457*($K508+$L508)-T533</f>
        <v>0</v>
      </c>
      <c r="U508" s="373" t="n">
        <f aca="false">U457*($K508+$L508)-U533</f>
        <v>0</v>
      </c>
      <c r="V508" s="373" t="n">
        <f aca="false">V457*($K508+$L508)-V533</f>
        <v>0</v>
      </c>
      <c r="W508" s="373" t="n">
        <f aca="false">W457*($K508+$L508)-W533</f>
        <v>0</v>
      </c>
      <c r="X508" s="373" t="n">
        <f aca="false">X457*($K508+$L508)-X533</f>
        <v>0</v>
      </c>
      <c r="Y508" s="373" t="n">
        <f aca="false">Y457*($K508+$L508)-Y533</f>
        <v>0</v>
      </c>
      <c r="AC508" s="417" t="n">
        <f aca="false">SUM(N508:Y508)</f>
        <v>0</v>
      </c>
    </row>
    <row r="509" customFormat="false" ht="12.75" hidden="false" customHeight="true" outlineLevel="0" collapsed="false">
      <c r="A509" s="370" t="s">
        <v>231</v>
      </c>
      <c r="B509" s="370" t="s">
        <v>425</v>
      </c>
      <c r="C509" s="370" t="s">
        <v>6</v>
      </c>
      <c r="D509" s="370" t="s">
        <v>332</v>
      </c>
      <c r="E509" s="473" t="n">
        <v>24754</v>
      </c>
      <c r="F509" s="473" t="s">
        <v>431</v>
      </c>
      <c r="G509" s="380" t="s">
        <v>421</v>
      </c>
      <c r="H509" s="470" t="n">
        <v>38472</v>
      </c>
      <c r="I509" s="472"/>
      <c r="K509" s="457" t="n">
        <v>0.0907</v>
      </c>
      <c r="L509" s="457" t="n">
        <v>0.0093</v>
      </c>
      <c r="M509" s="382" t="s">
        <v>346</v>
      </c>
      <c r="N509" s="373" t="n">
        <f aca="false">N458*($K509+$L509)-N534</f>
        <v>0</v>
      </c>
      <c r="O509" s="373" t="n">
        <f aca="false">O458*($K509+$L509)-O534</f>
        <v>0</v>
      </c>
      <c r="P509" s="373" t="n">
        <f aca="false">P458*($K509+$L509)-P534</f>
        <v>0</v>
      </c>
      <c r="Q509" s="373" t="n">
        <f aca="false">Q458*($K509+$L509)-Q534</f>
        <v>0</v>
      </c>
      <c r="R509" s="373" t="n">
        <f aca="false">R458*($K509+$L509)-R534</f>
        <v>2918.371</v>
      </c>
      <c r="S509" s="373" t="n">
        <f aca="false">S458*($K509+$L509)-S534</f>
        <v>2808.327</v>
      </c>
      <c r="T509" s="373" t="n">
        <f aca="false">T458*($K509+$L509)-T534</f>
        <v>2929.903</v>
      </c>
      <c r="U509" s="373" t="n">
        <f aca="false">U458*($K509+$L509)-U534</f>
        <v>2918.371</v>
      </c>
      <c r="V509" s="373" t="n">
        <f aca="false">V458*($K509+$L509)-V534</f>
        <v>2852.13</v>
      </c>
      <c r="W509" s="373" t="n">
        <f aca="false">W458*($K509+$L509)-W534</f>
        <v>2924.137</v>
      </c>
      <c r="X509" s="373" t="n">
        <f aca="false">X458*($K509+$L509)-X534</f>
        <v>2827.02</v>
      </c>
      <c r="Y509" s="373" t="n">
        <f aca="false">Y458*($K509+$L509)-Y534</f>
        <v>2914.6231</v>
      </c>
      <c r="AC509" s="417" t="n">
        <f aca="false">SUM(N509:Y509)</f>
        <v>23092.8821</v>
      </c>
    </row>
    <row r="510" customFormat="false" ht="12.75" hidden="false" customHeight="true" outlineLevel="0" collapsed="false">
      <c r="A510" s="370" t="s">
        <v>231</v>
      </c>
      <c r="B510" s="370" t="s">
        <v>425</v>
      </c>
      <c r="C510" s="370" t="s">
        <v>6</v>
      </c>
      <c r="D510" s="370" t="s">
        <v>332</v>
      </c>
      <c r="E510" s="445" t="n">
        <v>27349</v>
      </c>
      <c r="F510" s="380" t="s">
        <v>357</v>
      </c>
      <c r="G510" s="387" t="n">
        <v>36892</v>
      </c>
      <c r="H510" s="376" t="n">
        <v>38717</v>
      </c>
      <c r="I510" s="381"/>
      <c r="K510" s="456" t="n">
        <v>0.0407</v>
      </c>
      <c r="L510" s="456" t="n">
        <v>0.0093</v>
      </c>
      <c r="M510" s="382" t="s">
        <v>346</v>
      </c>
      <c r="N510" s="373" t="n">
        <f aca="false">N459*($K510+$L510)-N535</f>
        <v>27944.02</v>
      </c>
      <c r="O510" s="373" t="n">
        <f aca="false">O459*($K510+$L510)-O535</f>
        <v>25187.68</v>
      </c>
      <c r="P510" s="373" t="n">
        <f aca="false">P459*($K510+$L510)-P535</f>
        <v>27828.7</v>
      </c>
      <c r="Q510" s="373" t="n">
        <f aca="false">Q459*($K510+$L510)-Q535</f>
        <v>26707.8</v>
      </c>
      <c r="R510" s="373" t="n">
        <f aca="false">R459*($K510+$L510)-R535</f>
        <v>27367.42</v>
      </c>
      <c r="S510" s="373" t="n">
        <f aca="false">S459*($K510+$L510)-S535</f>
        <v>26166.54</v>
      </c>
      <c r="T510" s="373" t="n">
        <f aca="false">T459*($K510+$L510)-T535</f>
        <v>27598.06</v>
      </c>
      <c r="U510" s="373" t="n">
        <f aca="false">U459*($K510+$L510)-U535</f>
        <v>27367.42</v>
      </c>
      <c r="V510" s="373" t="n">
        <f aca="false">V459*($K510+$L510)-V535</f>
        <v>27042.6</v>
      </c>
      <c r="W510" s="373" t="n">
        <f aca="false">W459*($K510+$L510)-W535</f>
        <v>27482.74</v>
      </c>
      <c r="X510" s="373" t="n">
        <f aca="false">X459*($K510+$L510)-X535</f>
        <v>26540.4</v>
      </c>
      <c r="Y510" s="373" t="n">
        <f aca="false">Y459*($K510+$L510)-Y535</f>
        <v>27292.462</v>
      </c>
      <c r="AC510" s="417" t="n">
        <f aca="false">SUM(N510:Y510)</f>
        <v>324525.842</v>
      </c>
    </row>
    <row r="511" customFormat="false" ht="12.75" hidden="false" customHeight="true" outlineLevel="0" collapsed="false">
      <c r="A511" s="370" t="s">
        <v>231</v>
      </c>
      <c r="B511" s="370" t="s">
        <v>425</v>
      </c>
      <c r="C511" s="370" t="s">
        <v>6</v>
      </c>
      <c r="D511" s="370" t="s">
        <v>332</v>
      </c>
      <c r="E511" s="446" t="n">
        <v>27161</v>
      </c>
      <c r="F511" s="370" t="s">
        <v>434</v>
      </c>
      <c r="G511" s="380" t="s">
        <v>421</v>
      </c>
      <c r="H511" s="471" t="n">
        <v>37711</v>
      </c>
      <c r="K511" s="457" t="n">
        <v>0.025</v>
      </c>
      <c r="L511" s="457" t="n">
        <v>0.0093</v>
      </c>
      <c r="M511" s="382" t="s">
        <v>352</v>
      </c>
      <c r="N511" s="360" t="n">
        <f aca="false">N460*($K511+$L511)-N536</f>
        <v>0</v>
      </c>
      <c r="O511" s="360" t="n">
        <f aca="false">O460*($K511+$L511)-O536</f>
        <v>0</v>
      </c>
      <c r="P511" s="373" t="n">
        <f aca="false">P460*($K511+$L511)-P536</f>
        <v>0</v>
      </c>
      <c r="Q511" s="373" t="n">
        <f aca="false">Q460*($K511+$L511)-Q536</f>
        <v>0</v>
      </c>
      <c r="R511" s="373" t="n">
        <f aca="false">R460*($K511+$L511)-R536</f>
        <v>0</v>
      </c>
      <c r="S511" s="373" t="n">
        <f aca="false">S460*($K511+$L511)-S536</f>
        <v>0</v>
      </c>
      <c r="T511" s="373" t="n">
        <f aca="false">T460*($K511+$L511)-T536</f>
        <v>0</v>
      </c>
      <c r="U511" s="373" t="n">
        <f aca="false">U460*($K511+$L511)-U536</f>
        <v>0</v>
      </c>
      <c r="V511" s="373" t="n">
        <f aca="false">V460*($K511+$L511)-V536</f>
        <v>0</v>
      </c>
      <c r="W511" s="373" t="n">
        <f aca="false">W460*($K511+$L511)-W536</f>
        <v>0</v>
      </c>
      <c r="X511" s="373" t="n">
        <f aca="false">X460*($K511)</f>
        <v>300000</v>
      </c>
      <c r="Y511" s="373" t="n">
        <f aca="false">Y460*($K511)</f>
        <v>310000</v>
      </c>
      <c r="AC511" s="417" t="n">
        <f aca="false">SUM(N511:Y511)</f>
        <v>610000</v>
      </c>
    </row>
    <row r="512" customFormat="false" ht="12.75" hidden="false" customHeight="true" outlineLevel="0" collapsed="false">
      <c r="A512" s="370" t="s">
        <v>231</v>
      </c>
      <c r="B512" s="370" t="s">
        <v>425</v>
      </c>
      <c r="C512" s="370" t="s">
        <v>6</v>
      </c>
      <c r="D512" s="370" t="s">
        <v>332</v>
      </c>
      <c r="E512" s="446" t="n">
        <v>26490</v>
      </c>
      <c r="F512" s="370" t="s">
        <v>350</v>
      </c>
      <c r="G512" s="380" t="s">
        <v>421</v>
      </c>
      <c r="H512" s="376" t="n">
        <v>37925</v>
      </c>
      <c r="K512" s="457" t="n">
        <v>0.0607</v>
      </c>
      <c r="L512" s="457" t="n">
        <v>0.0093</v>
      </c>
      <c r="M512" s="382" t="s">
        <v>346</v>
      </c>
      <c r="N512" s="360" t="n">
        <f aca="false">N461*($K512+$L512)-N537</f>
        <v>0</v>
      </c>
      <c r="O512" s="360" t="n">
        <f aca="false">O461*($K512+$L512)-O537</f>
        <v>0</v>
      </c>
      <c r="P512" s="373" t="n">
        <f aca="false">P461*($K512+$L512)-P537</f>
        <v>0</v>
      </c>
      <c r="Q512" s="373" t="n">
        <f aca="false">Q461*($K512+$L512)-Q537</f>
        <v>0</v>
      </c>
      <c r="R512" s="373" t="n">
        <f aca="false">R461*($K512+$L512)-R537</f>
        <v>0</v>
      </c>
      <c r="S512" s="373" t="n">
        <f aca="false">S461*($K512+$L512)-S537</f>
        <v>0</v>
      </c>
      <c r="T512" s="373" t="n">
        <f aca="false">T461*($K512+$L512)-T537</f>
        <v>0</v>
      </c>
      <c r="U512" s="373" t="n">
        <f aca="false">U461*($K512+$L512)-U537</f>
        <v>0</v>
      </c>
      <c r="V512" s="373" t="n">
        <f aca="false">V461*($K512+$L512)-V537</f>
        <v>0</v>
      </c>
      <c r="W512" s="373" t="n">
        <f aca="false">W461*($K512+$L512)-W537</f>
        <v>0</v>
      </c>
      <c r="X512" s="373" t="n">
        <f aca="false">X461*($K512+$L512)-X537</f>
        <v>77080.8</v>
      </c>
      <c r="Y512" s="373" t="n">
        <f aca="false">Y461*($K512+$L512)-Y537</f>
        <v>79384.924</v>
      </c>
      <c r="AC512" s="417" t="n">
        <f aca="false">SUM(N512:Y512)</f>
        <v>156465.724</v>
      </c>
    </row>
    <row r="513" customFormat="false" ht="12.75" hidden="false" customHeight="true" outlineLevel="0" collapsed="false">
      <c r="A513" s="380" t="s">
        <v>231</v>
      </c>
      <c r="B513" s="380" t="s">
        <v>425</v>
      </c>
      <c r="C513" s="380" t="s">
        <v>6</v>
      </c>
      <c r="D513" s="380" t="s">
        <v>332</v>
      </c>
      <c r="E513" s="445" t="n">
        <v>27420</v>
      </c>
      <c r="F513" s="380" t="s">
        <v>438</v>
      </c>
      <c r="G513" s="387" t="n">
        <v>36861</v>
      </c>
      <c r="H513" s="376" t="n">
        <v>37225</v>
      </c>
      <c r="K513" s="456" t="n">
        <v>0.0557</v>
      </c>
      <c r="L513" s="456" t="n">
        <v>0.0093</v>
      </c>
      <c r="M513" s="382" t="s">
        <v>346</v>
      </c>
      <c r="N513" s="381" t="n">
        <f aca="false">N462*($K513+$L513)-N538</f>
        <v>3597.772332</v>
      </c>
      <c r="O513" s="381" t="n">
        <f aca="false">O462*($K513+$L513)-O538</f>
        <v>3244.569888</v>
      </c>
      <c r="P513" s="381" t="n">
        <f aca="false">P462*($K513+$L513)-P538</f>
        <v>3586.63242</v>
      </c>
      <c r="Q513" s="381" t="n">
        <f aca="false">Q462*($K513+$L513)-Q538</f>
        <v>3449.37348</v>
      </c>
      <c r="R513" s="381" t="n">
        <f aca="false">R462*($K513+$L513)-R538</f>
        <v>3542.072772</v>
      </c>
      <c r="S513" s="381" t="n">
        <f aca="false">S462*($K513+$L513)-S538</f>
        <v>3397.087764</v>
      </c>
      <c r="T513" s="381" t="n">
        <f aca="false">T462*($K513+$L513)-T538</f>
        <v>4612.2575</v>
      </c>
      <c r="U513" s="381" t="n">
        <f aca="false">U462*($K513+$L513)-U538</f>
        <v>4583.4275</v>
      </c>
      <c r="V513" s="381" t="n">
        <f aca="false">V462*($K513+$L513)-V538</f>
        <v>4505.325</v>
      </c>
      <c r="W513" s="381" t="n">
        <f aca="false">W462*($K513+$L513)-W538</f>
        <v>4597.8425</v>
      </c>
      <c r="X513" s="381" t="n">
        <f aca="false">X462*($K513+$L513)-X538</f>
        <v>4442.55</v>
      </c>
      <c r="Y513" s="381" t="n">
        <f aca="false">Y462*($K513+$L513)-Y538</f>
        <v>0</v>
      </c>
      <c r="Z513" s="417"/>
      <c r="AC513" s="417"/>
    </row>
    <row r="514" customFormat="false" ht="12.75" hidden="false" customHeight="true" outlineLevel="0" collapsed="false">
      <c r="A514" s="380" t="s">
        <v>231</v>
      </c>
      <c r="B514" s="380" t="s">
        <v>425</v>
      </c>
      <c r="C514" s="380" t="s">
        <v>6</v>
      </c>
      <c r="D514" s="380" t="s">
        <v>332</v>
      </c>
      <c r="E514" s="445" t="n">
        <v>27377</v>
      </c>
      <c r="F514" s="380" t="s">
        <v>350</v>
      </c>
      <c r="G514" s="387" t="n">
        <v>36951</v>
      </c>
      <c r="H514" s="376" t="n">
        <v>37315</v>
      </c>
      <c r="K514" s="456" t="n">
        <v>0.0407</v>
      </c>
      <c r="L514" s="456" t="n">
        <v>0.0093</v>
      </c>
      <c r="M514" s="382" t="s">
        <v>346</v>
      </c>
      <c r="N514" s="381" t="n">
        <f aca="false">N463*($K514+$L514)-N539</f>
        <v>0</v>
      </c>
      <c r="O514" s="381" t="n">
        <f aca="false">O463*($K514+$L514)-O539</f>
        <v>0</v>
      </c>
      <c r="P514" s="381" t="n">
        <f aca="false">P463*($K514+$L514)-P539</f>
        <v>13914.35</v>
      </c>
      <c r="Q514" s="381" t="n">
        <f aca="false">Q463*($K514+$L514)-Q539</f>
        <v>13353.9</v>
      </c>
      <c r="R514" s="381" t="n">
        <f aca="false">R463*($K514+$L514)-R539</f>
        <v>13683.71</v>
      </c>
      <c r="S514" s="381" t="n">
        <f aca="false">S463*($K514+$L514)-S539</f>
        <v>13083.27</v>
      </c>
      <c r="T514" s="381" t="n">
        <f aca="false">T463*($K514+$L514)-T539</f>
        <v>13799.03</v>
      </c>
      <c r="U514" s="381" t="n">
        <f aca="false">U463*($K514+$L514)-U539</f>
        <v>13683.71</v>
      </c>
      <c r="V514" s="381" t="n">
        <f aca="false">V463*($K514+$L514)-V539</f>
        <v>13521.3</v>
      </c>
      <c r="W514" s="381" t="n">
        <f aca="false">W463*($K514+$L514)-W539</f>
        <v>13741.37</v>
      </c>
      <c r="X514" s="381" t="n">
        <f aca="false">X463*($K514+$L514)-X539</f>
        <v>13270.2</v>
      </c>
      <c r="Y514" s="381" t="n">
        <f aca="false">Y463*($K514+$L514)-Y539</f>
        <v>13646.231</v>
      </c>
      <c r="Z514" s="417"/>
      <c r="AC514" s="417"/>
    </row>
    <row r="515" customFormat="false" ht="12.75" hidden="false" customHeight="true" outlineLevel="0" collapsed="false">
      <c r="A515" s="380" t="s">
        <v>231</v>
      </c>
      <c r="B515" s="380" t="s">
        <v>425</v>
      </c>
      <c r="C515" s="380" t="s">
        <v>6</v>
      </c>
      <c r="D515" s="380" t="s">
        <v>332</v>
      </c>
      <c r="E515" s="445" t="n">
        <v>27495</v>
      </c>
      <c r="F515" s="380" t="s">
        <v>439</v>
      </c>
      <c r="G515" s="387" t="n">
        <v>36951</v>
      </c>
      <c r="H515" s="376" t="n">
        <v>37711</v>
      </c>
      <c r="K515" s="456" t="n">
        <v>0.0232</v>
      </c>
      <c r="L515" s="456" t="n">
        <v>0.0093</v>
      </c>
      <c r="M515" s="382" t="s">
        <v>346</v>
      </c>
      <c r="N515" s="381" t="n">
        <f aca="false">N464*($K515+$L515)-N540</f>
        <v>0</v>
      </c>
      <c r="O515" s="381" t="n">
        <f aca="false">O464*($K515+$L515)-O540</f>
        <v>0</v>
      </c>
      <c r="P515" s="381" t="n">
        <f aca="false">P464*($K515+$L515)-P540</f>
        <v>42446.75</v>
      </c>
      <c r="Q515" s="381" t="n">
        <f aca="false">Q464*($K515+$L515)-Q540</f>
        <v>40519.5</v>
      </c>
      <c r="R515" s="381" t="n">
        <f aca="false">R464*($K515+$L515)-R540</f>
        <v>41293.55</v>
      </c>
      <c r="S515" s="381" t="n">
        <f aca="false">S464*($K515+$L515)-S540</f>
        <v>39166.35</v>
      </c>
      <c r="T515" s="381" t="n">
        <f aca="false">T464*($K515+$L515)-T540</f>
        <v>41870.15</v>
      </c>
      <c r="U515" s="381" t="n">
        <f aca="false">U464*($K515+$L515)-U540</f>
        <v>41293.55</v>
      </c>
      <c r="V515" s="381" t="n">
        <f aca="false">V464*($K515+$L515)-V540</f>
        <v>41356.5</v>
      </c>
      <c r="W515" s="381" t="n">
        <f aca="false">W464*($K515+$L515)-W540</f>
        <v>41581.85</v>
      </c>
      <c r="X515" s="381" t="n">
        <f aca="false">X464*($K515+$L515)-X540</f>
        <v>40101</v>
      </c>
      <c r="Y515" s="381" t="n">
        <f aca="false">Y464*($K515+$L515)-Y540</f>
        <v>41106.155</v>
      </c>
      <c r="Z515" s="417"/>
      <c r="AC515" s="417"/>
    </row>
    <row r="516" customFormat="false" ht="12.75" hidden="false" customHeight="true" outlineLevel="0" collapsed="false">
      <c r="A516" s="389" t="s">
        <v>231</v>
      </c>
      <c r="B516" s="389" t="s">
        <v>425</v>
      </c>
      <c r="C516" s="389" t="s">
        <v>6</v>
      </c>
      <c r="D516" s="389" t="s">
        <v>332</v>
      </c>
      <c r="E516" s="476" t="n">
        <v>27579</v>
      </c>
      <c r="F516" s="389" t="s">
        <v>357</v>
      </c>
      <c r="G516" s="390" t="n">
        <v>37012</v>
      </c>
      <c r="H516" s="391" t="n">
        <v>37407</v>
      </c>
      <c r="K516" s="480" t="n">
        <v>0.0507</v>
      </c>
      <c r="L516" s="480" t="n">
        <v>0.0093</v>
      </c>
      <c r="M516" s="416" t="s">
        <v>346</v>
      </c>
      <c r="N516" s="381"/>
      <c r="O516" s="381"/>
      <c r="P516" s="381"/>
      <c r="Q516" s="381"/>
      <c r="R516" s="392" t="n">
        <f aca="false">R465*($K516+$L516)-R541</f>
        <v>33567.42</v>
      </c>
      <c r="S516" s="392" t="n">
        <f aca="false">S465*($K516+$L516)-S541</f>
        <v>32166.54</v>
      </c>
      <c r="T516" s="392" t="n">
        <f aca="false">T465*($K516+$L516)-T541</f>
        <v>33798.06</v>
      </c>
      <c r="U516" s="392" t="n">
        <f aca="false">U465*($K516+$L516)-U541</f>
        <v>33567.42</v>
      </c>
      <c r="V516" s="392" t="n">
        <f aca="false">V465*($K516+$L516)-V541</f>
        <v>33042.6</v>
      </c>
      <c r="W516" s="392" t="n">
        <f aca="false">W465*($K516+$L516)-W541</f>
        <v>33682.74</v>
      </c>
      <c r="X516" s="392" t="n">
        <f aca="false">X465*($K516+$L516)-X541</f>
        <v>32540.4</v>
      </c>
      <c r="Y516" s="392" t="n">
        <f aca="false">Y465*($K516+$L516)-Y541</f>
        <v>33492.462</v>
      </c>
      <c r="Z516" s="417" t="n">
        <f aca="false">SUM(N516:Y516)</f>
        <v>265857.642</v>
      </c>
      <c r="AC516" s="417"/>
    </row>
    <row r="517" customFormat="false" ht="12.75" hidden="false" customHeight="true" outlineLevel="0" collapsed="false">
      <c r="A517" s="380" t="s">
        <v>231</v>
      </c>
      <c r="B517" s="380" t="s">
        <v>425</v>
      </c>
      <c r="C517" s="380" t="s">
        <v>6</v>
      </c>
      <c r="D517" s="380" t="s">
        <v>332</v>
      </c>
      <c r="E517" s="445" t="n">
        <v>27529</v>
      </c>
      <c r="F517" s="380" t="s">
        <v>419</v>
      </c>
      <c r="G517" s="387" t="n">
        <v>36951</v>
      </c>
      <c r="H517" s="376" t="n">
        <v>36981</v>
      </c>
      <c r="K517" s="456" t="n">
        <v>0.0007</v>
      </c>
      <c r="L517" s="456" t="n">
        <v>0.0093</v>
      </c>
      <c r="M517" s="382" t="s">
        <v>346</v>
      </c>
      <c r="P517" s="381" t="n">
        <f aca="false">P466*($K517+$L517)-P542</f>
        <v>15143.5</v>
      </c>
      <c r="X517" s="373"/>
      <c r="Y517" s="373"/>
      <c r="Z517" s="448"/>
      <c r="AA517" s="333"/>
      <c r="AB517" s="333"/>
      <c r="AC517" s="417"/>
    </row>
    <row r="518" customFormat="false" ht="12.75" hidden="false" customHeight="true" outlineLevel="0" collapsed="false">
      <c r="A518" s="380" t="s">
        <v>231</v>
      </c>
      <c r="B518" s="380" t="s">
        <v>425</v>
      </c>
      <c r="C518" s="380" t="s">
        <v>6</v>
      </c>
      <c r="D518" s="380" t="s">
        <v>332</v>
      </c>
      <c r="E518" s="445" t="n">
        <v>27600</v>
      </c>
      <c r="F518" s="380" t="s">
        <v>440</v>
      </c>
      <c r="G518" s="387" t="n">
        <v>37043</v>
      </c>
      <c r="H518" s="376" t="n">
        <v>37407</v>
      </c>
      <c r="K518" s="456" t="n">
        <v>0.0807</v>
      </c>
      <c r="L518" s="456" t="n">
        <v>0.0093</v>
      </c>
      <c r="M518" s="382" t="s">
        <v>346</v>
      </c>
      <c r="N518" s="368"/>
      <c r="O518" s="368"/>
      <c r="P518" s="396"/>
      <c r="Q518" s="368"/>
      <c r="R518" s="368"/>
      <c r="S518" s="368"/>
      <c r="T518" s="477" t="n">
        <f aca="false">T467*($K518+$L518)-T543</f>
        <v>6549.7575</v>
      </c>
      <c r="U518" s="477" t="n">
        <f aca="false">U467*($K518+$L518)-U543</f>
        <v>6520.9275</v>
      </c>
      <c r="V518" s="477" t="n">
        <f aca="false">V467*($K518+$L518)-V543</f>
        <v>6380.325</v>
      </c>
      <c r="W518" s="477" t="n">
        <f aca="false">W467*($K518+$L518)-W543</f>
        <v>6535.3425</v>
      </c>
      <c r="X518" s="477" t="n">
        <f aca="false">X467*($K518+$L518)-X543</f>
        <v>6317.55</v>
      </c>
      <c r="Y518" s="477" t="n">
        <f aca="false">Y467*($K518+$L518)-Y543</f>
        <v>6511.55775</v>
      </c>
      <c r="Z518" s="417"/>
      <c r="AC518" s="417"/>
    </row>
    <row r="519" customFormat="false" ht="12.75" hidden="false" customHeight="true" outlineLevel="0" collapsed="false">
      <c r="I519" s="360" t="n">
        <f aca="false">SUM(I496:I512)</f>
        <v>0</v>
      </c>
      <c r="N519" s="360" t="n">
        <f aca="false">SUM(N496:N517)</f>
        <v>494421.409599</v>
      </c>
      <c r="O519" s="360" t="n">
        <f aca="false">SUM(O496:O517)</f>
        <v>446073.639816</v>
      </c>
      <c r="P519" s="360" t="n">
        <f aca="false">SUM(P496:P517)</f>
        <v>511431.803565</v>
      </c>
      <c r="Q519" s="360" t="n">
        <f aca="false">SUM(Q496:Q517)</f>
        <v>448712.39661</v>
      </c>
      <c r="R519" s="360" t="n">
        <f aca="false">SUM(R496:R517)</f>
        <v>446364.029429</v>
      </c>
      <c r="S519" s="360" t="n">
        <f aca="false">SUM(S496:S517)</f>
        <v>428510.766273</v>
      </c>
      <c r="T519" s="360" t="n">
        <f aca="false">SUM(T496:T518)</f>
        <v>472656.596318</v>
      </c>
      <c r="U519" s="360" t="n">
        <f aca="false">SUM(U496:U518)</f>
        <v>468554.628578</v>
      </c>
      <c r="V519" s="360" t="n">
        <f aca="false">SUM(V496:V518)</f>
        <v>340802.0337</v>
      </c>
      <c r="W519" s="360" t="n">
        <f aca="false">SUM(W496:W518)</f>
        <v>394532.133</v>
      </c>
      <c r="X519" s="360" t="n">
        <f aca="false">SUM(X496:X518)</f>
        <v>703438.08</v>
      </c>
      <c r="Y519" s="360" t="n">
        <f aca="false">SUM(Y496:Y518)</f>
        <v>830256.2290434</v>
      </c>
      <c r="Z519" s="417" t="n">
        <f aca="false">SUM(N519:Y519)</f>
        <v>5985753.7459314</v>
      </c>
    </row>
    <row r="521" customFormat="false" ht="12.75" hidden="false" customHeight="true" outlineLevel="0" collapsed="false">
      <c r="A521" s="294" t="s">
        <v>231</v>
      </c>
      <c r="B521" s="294" t="s">
        <v>425</v>
      </c>
      <c r="C521" s="294" t="s">
        <v>6</v>
      </c>
      <c r="D521" s="294" t="s">
        <v>329</v>
      </c>
      <c r="E521" s="462" t="n">
        <v>24194</v>
      </c>
      <c r="F521" s="462" t="s">
        <v>426</v>
      </c>
      <c r="H521" s="463" t="n">
        <v>37164</v>
      </c>
      <c r="I521" s="464" t="n">
        <v>25000</v>
      </c>
      <c r="K521" s="449" t="n">
        <v>0.1007</v>
      </c>
      <c r="L521" s="465" t="n">
        <v>0.0093</v>
      </c>
      <c r="M521" s="361" t="s">
        <v>427</v>
      </c>
      <c r="N521" s="360" t="n">
        <f aca="false">N471*$L521</f>
        <v>6111.96</v>
      </c>
      <c r="O521" s="360" t="n">
        <f aca="false">O471*$L521</f>
        <v>5624.64</v>
      </c>
      <c r="P521" s="360" t="n">
        <f aca="false">P471*$L521</f>
        <v>3964.125</v>
      </c>
      <c r="Q521" s="360" t="n">
        <f aca="false">Q471*$L521</f>
        <v>4115.25</v>
      </c>
      <c r="R521" s="360" t="n">
        <f aca="false">R471*$L521</f>
        <v>1816.29</v>
      </c>
      <c r="S521" s="360" t="n">
        <f aca="false">S471*$L521</f>
        <v>1916.73</v>
      </c>
      <c r="T521" s="360" t="n">
        <f aca="false">T471*$L521</f>
        <v>1700.97</v>
      </c>
      <c r="U521" s="360" t="n">
        <f aca="false">U471*$L521</f>
        <v>1816.29</v>
      </c>
      <c r="V521" s="360" t="n">
        <f aca="false">V471*$L521</f>
        <v>1478.7</v>
      </c>
      <c r="W521" s="360" t="n">
        <f aca="false">W471*$L521</f>
        <v>0</v>
      </c>
      <c r="X521" s="360" t="n">
        <f aca="false">X471*$L521</f>
        <v>0</v>
      </c>
      <c r="Y521" s="360" t="n">
        <f aca="false">Y471*$L521</f>
        <v>0</v>
      </c>
      <c r="AF521" s="417" t="n">
        <f aca="false">SUM(N521:Y521)</f>
        <v>28544.955</v>
      </c>
    </row>
    <row r="522" customFormat="false" ht="12.75" hidden="false" customHeight="true" outlineLevel="0" collapsed="false">
      <c r="A522" s="294" t="s">
        <v>231</v>
      </c>
      <c r="B522" s="294" t="s">
        <v>425</v>
      </c>
      <c r="C522" s="294" t="s">
        <v>6</v>
      </c>
      <c r="D522" s="294" t="s">
        <v>329</v>
      </c>
      <c r="E522" s="462" t="n">
        <v>27291</v>
      </c>
      <c r="F522" s="462" t="s">
        <v>357</v>
      </c>
      <c r="G522" s="375" t="n">
        <v>36739</v>
      </c>
      <c r="H522" s="463" t="n">
        <v>37468</v>
      </c>
      <c r="I522" s="464" t="n">
        <v>20000</v>
      </c>
      <c r="K522" s="449" t="n">
        <v>0.0107</v>
      </c>
      <c r="L522" s="465" t="n">
        <v>0.0093</v>
      </c>
      <c r="M522" s="361" t="s">
        <v>346</v>
      </c>
      <c r="N522" s="360" t="n">
        <f aca="false">N472*$L522</f>
        <v>3055.98</v>
      </c>
      <c r="O522" s="360" t="n">
        <f aca="false">O472*$L522</f>
        <v>2812.32</v>
      </c>
      <c r="P522" s="360" t="n">
        <f aca="false">P472*$L522</f>
        <v>3171.3</v>
      </c>
      <c r="Q522" s="360" t="n">
        <f aca="false">Q472*$L522</f>
        <v>3292.2</v>
      </c>
      <c r="R522" s="360" t="n">
        <f aca="false">R472*$L522</f>
        <v>3632.58</v>
      </c>
      <c r="S522" s="360" t="n">
        <f aca="false">S472*$L522</f>
        <v>3833.46</v>
      </c>
      <c r="T522" s="360" t="n">
        <f aca="false">T472*$L522</f>
        <v>3401.94</v>
      </c>
      <c r="U522" s="360" t="n">
        <f aca="false">U472*$L522</f>
        <v>3632.58</v>
      </c>
      <c r="V522" s="360" t="n">
        <f aca="false">V472*$L522</f>
        <v>2957.4</v>
      </c>
      <c r="W522" s="360" t="n">
        <f aca="false">W472*$L522</f>
        <v>3517.26</v>
      </c>
      <c r="X522" s="360" t="n">
        <f aca="false">X472*$L522</f>
        <v>3459.6</v>
      </c>
      <c r="Y522" s="360" t="n">
        <f aca="false">Y472*$L522</f>
        <v>3707.538</v>
      </c>
      <c r="AF522" s="417" t="n">
        <f aca="false">SUM(N522:Y522)</f>
        <v>40474.158</v>
      </c>
    </row>
    <row r="523" customFormat="false" ht="12.75" hidden="false" customHeight="true" outlineLevel="0" collapsed="false">
      <c r="A523" s="294" t="s">
        <v>231</v>
      </c>
      <c r="B523" s="294" t="s">
        <v>425</v>
      </c>
      <c r="C523" s="294" t="s">
        <v>6</v>
      </c>
      <c r="D523" s="294" t="s">
        <v>329</v>
      </c>
      <c r="E523" s="462" t="s">
        <v>428</v>
      </c>
      <c r="F523" s="462" t="s">
        <v>429</v>
      </c>
      <c r="H523" s="463" t="n">
        <v>37376</v>
      </c>
      <c r="I523" s="464" t="n">
        <v>35714</v>
      </c>
      <c r="K523" s="449" t="n">
        <v>0.0957</v>
      </c>
      <c r="L523" s="465" t="n">
        <v>0.0093</v>
      </c>
      <c r="M523" s="361" t="s">
        <v>346</v>
      </c>
      <c r="N523" s="360" t="n">
        <f aca="false">N473*$L523</f>
        <v>5457.063486</v>
      </c>
      <c r="O523" s="360" t="n">
        <f aca="false">O473*$L523</f>
        <v>5021.959824</v>
      </c>
      <c r="P523" s="360" t="n">
        <f aca="false">P473*$L523</f>
        <v>5662.99041</v>
      </c>
      <c r="Q523" s="360" t="n">
        <f aca="false">Q473*$L523</f>
        <v>5878.88154</v>
      </c>
      <c r="R523" s="360" t="n">
        <f aca="false">R473*$L523</f>
        <v>6486.698106</v>
      </c>
      <c r="S523" s="360" t="n">
        <f aca="false">S473*$L523</f>
        <v>6845.409522</v>
      </c>
      <c r="T523" s="360" t="n">
        <f aca="false">T473*$L523</f>
        <v>6074.844258</v>
      </c>
      <c r="U523" s="360" t="n">
        <f aca="false">U473*$L523</f>
        <v>6486.698106</v>
      </c>
      <c r="V523" s="360" t="n">
        <f aca="false">V473*$L523</f>
        <v>0</v>
      </c>
      <c r="W523" s="360" t="n">
        <f aca="false">W473*$L523</f>
        <v>0</v>
      </c>
      <c r="X523" s="360" t="n">
        <f aca="false">X473*$L523</f>
        <v>0</v>
      </c>
      <c r="Y523" s="360" t="n">
        <f aca="false">Y473*$L523</f>
        <v>6620.5506066</v>
      </c>
      <c r="AF523" s="417" t="n">
        <f aca="false">SUM(N523:Y523)</f>
        <v>54535.0958586</v>
      </c>
    </row>
    <row r="524" customFormat="false" ht="12.75" hidden="false" customHeight="true" outlineLevel="0" collapsed="false">
      <c r="A524" s="294" t="s">
        <v>231</v>
      </c>
      <c r="B524" s="294" t="s">
        <v>425</v>
      </c>
      <c r="C524" s="294" t="s">
        <v>6</v>
      </c>
      <c r="D524" s="294" t="s">
        <v>329</v>
      </c>
      <c r="E524" s="466" t="n">
        <v>24690</v>
      </c>
      <c r="F524" s="466" t="s">
        <v>430</v>
      </c>
      <c r="H524" s="467" t="n">
        <v>36981</v>
      </c>
      <c r="I524" s="468" t="n">
        <v>15000</v>
      </c>
      <c r="K524" s="449" t="n">
        <v>0.0607</v>
      </c>
      <c r="L524" s="449" t="n">
        <v>0.0093</v>
      </c>
      <c r="M524" s="361" t="s">
        <v>427</v>
      </c>
      <c r="N524" s="360" t="n">
        <f aca="false">N474*$L524</f>
        <v>2291.985</v>
      </c>
      <c r="O524" s="360" t="n">
        <f aca="false">O474*$L524</f>
        <v>2109.24</v>
      </c>
      <c r="P524" s="360" t="n">
        <f aca="false">P474*$L524</f>
        <v>2378.475</v>
      </c>
      <c r="Q524" s="360" t="n">
        <f aca="false">Q474*$L524</f>
        <v>0</v>
      </c>
      <c r="R524" s="360" t="n">
        <f aca="false">R474*$L524</f>
        <v>0</v>
      </c>
      <c r="S524" s="360" t="n">
        <f aca="false">S474*$L524</f>
        <v>0</v>
      </c>
      <c r="T524" s="360" t="n">
        <f aca="false">T474*$L524</f>
        <v>0</v>
      </c>
      <c r="U524" s="360" t="n">
        <f aca="false">U474*$L524</f>
        <v>0</v>
      </c>
      <c r="V524" s="360" t="n">
        <f aca="false">V474*$L524</f>
        <v>0</v>
      </c>
      <c r="W524" s="360" t="n">
        <f aca="false">W474*$L524</f>
        <v>0</v>
      </c>
      <c r="X524" s="360" t="n">
        <f aca="false">X474*$L524</f>
        <v>0</v>
      </c>
      <c r="Y524" s="360" t="n">
        <f aca="false">Y474*$L524</f>
        <v>0</v>
      </c>
      <c r="AF524" s="417" t="n">
        <f aca="false">SUM(N524:Y524)</f>
        <v>6779.7</v>
      </c>
    </row>
    <row r="525" customFormat="false" ht="12.75" hidden="false" customHeight="true" outlineLevel="0" collapsed="false">
      <c r="A525" s="294" t="s">
        <v>231</v>
      </c>
      <c r="B525" s="294" t="s">
        <v>425</v>
      </c>
      <c r="C525" s="294" t="s">
        <v>6</v>
      </c>
      <c r="D525" s="294" t="s">
        <v>329</v>
      </c>
      <c r="E525" s="466" t="n">
        <v>26740</v>
      </c>
      <c r="F525" s="466" t="s">
        <v>409</v>
      </c>
      <c r="H525" s="469" t="n">
        <v>39113</v>
      </c>
      <c r="I525" s="468" t="n">
        <v>8000</v>
      </c>
      <c r="K525" s="449" t="n">
        <v>0.0407</v>
      </c>
      <c r="L525" s="449" t="n">
        <v>0.0093</v>
      </c>
      <c r="M525" s="361" t="s">
        <v>346</v>
      </c>
      <c r="N525" s="360" t="n">
        <f aca="false">N475*$L525</f>
        <v>1222.392</v>
      </c>
      <c r="O525" s="360" t="n">
        <f aca="false">O475*$L525</f>
        <v>1124.928</v>
      </c>
      <c r="P525" s="360" t="n">
        <f aca="false">P475*$L525</f>
        <v>1268.52</v>
      </c>
      <c r="Q525" s="360" t="n">
        <f aca="false">Q475*$L525</f>
        <v>1316.88</v>
      </c>
      <c r="R525" s="360" t="n">
        <f aca="false">R475*$L525</f>
        <v>1453.032</v>
      </c>
      <c r="S525" s="360" t="n">
        <f aca="false">S475*$L525</f>
        <v>1533.384</v>
      </c>
      <c r="T525" s="360" t="n">
        <f aca="false">T475*$L525</f>
        <v>1360.776</v>
      </c>
      <c r="U525" s="360" t="n">
        <f aca="false">U475*$L525</f>
        <v>1453.032</v>
      </c>
      <c r="V525" s="360" t="n">
        <f aca="false">V475*$L525</f>
        <v>1182.96</v>
      </c>
      <c r="W525" s="360" t="n">
        <f aca="false">W475*$L525</f>
        <v>1406.904</v>
      </c>
      <c r="X525" s="360" t="n">
        <f aca="false">X475*$L525</f>
        <v>1383.84</v>
      </c>
      <c r="Y525" s="360" t="n">
        <f aca="false">Y475*$L525</f>
        <v>1483.0152</v>
      </c>
      <c r="AF525" s="417" t="n">
        <f aca="false">SUM(N525:Y525)</f>
        <v>16189.6632</v>
      </c>
    </row>
    <row r="526" customFormat="false" ht="12.75" hidden="false" customHeight="true" outlineLevel="0" collapsed="false">
      <c r="A526" s="294" t="s">
        <v>231</v>
      </c>
      <c r="B526" s="294" t="s">
        <v>425</v>
      </c>
      <c r="C526" s="294" t="s">
        <v>6</v>
      </c>
      <c r="D526" s="294" t="s">
        <v>329</v>
      </c>
      <c r="E526" s="466" t="n">
        <v>24754</v>
      </c>
      <c r="F526" s="466" t="s">
        <v>431</v>
      </c>
      <c r="H526" s="470" t="n">
        <v>38472</v>
      </c>
      <c r="I526" s="468" t="n">
        <v>1000</v>
      </c>
      <c r="K526" s="449" t="n">
        <v>0.0907</v>
      </c>
      <c r="L526" s="449" t="n">
        <v>0.0093</v>
      </c>
      <c r="M526" s="361" t="s">
        <v>352</v>
      </c>
      <c r="N526" s="360" t="n">
        <f aca="false">N476*$L526</f>
        <v>152.799</v>
      </c>
      <c r="O526" s="360" t="n">
        <f aca="false">O476*$L526</f>
        <v>140.616</v>
      </c>
      <c r="P526" s="360" t="n">
        <f aca="false">P476*$L526</f>
        <v>158.565</v>
      </c>
      <c r="Q526" s="360" t="n">
        <f aca="false">Q476*$L526</f>
        <v>164.61</v>
      </c>
      <c r="R526" s="360" t="n">
        <f aca="false">R476*$L526</f>
        <v>0</v>
      </c>
      <c r="S526" s="360" t="n">
        <f aca="false">S476*$L526</f>
        <v>0</v>
      </c>
      <c r="T526" s="360" t="n">
        <f aca="false">T476*$L526</f>
        <v>0</v>
      </c>
      <c r="U526" s="360" t="n">
        <f aca="false">U476*$L526</f>
        <v>0</v>
      </c>
      <c r="V526" s="360" t="n">
        <f aca="false">V476*$L526</f>
        <v>0</v>
      </c>
      <c r="W526" s="360" t="n">
        <f aca="false">W476*$L526</f>
        <v>0</v>
      </c>
      <c r="X526" s="360" t="n">
        <f aca="false">X476*$L526</f>
        <v>0</v>
      </c>
      <c r="Y526" s="360" t="n">
        <f aca="false">Y476*$L526</f>
        <v>0</v>
      </c>
      <c r="AF526" s="417"/>
    </row>
    <row r="527" customFormat="false" ht="12.75" hidden="false" customHeight="true" outlineLevel="0" collapsed="false">
      <c r="A527" s="294" t="s">
        <v>231</v>
      </c>
      <c r="B527" s="294" t="s">
        <v>425</v>
      </c>
      <c r="C527" s="294" t="s">
        <v>6</v>
      </c>
      <c r="D527" s="294" t="s">
        <v>329</v>
      </c>
      <c r="E527" s="466" t="n">
        <v>25031</v>
      </c>
      <c r="F527" s="466" t="s">
        <v>432</v>
      </c>
      <c r="H527" s="469" t="n">
        <v>39051</v>
      </c>
      <c r="I527" s="468" t="n">
        <v>0</v>
      </c>
      <c r="K527" s="294"/>
      <c r="N527" s="360" t="n">
        <f aca="false">N477*$L527</f>
        <v>0</v>
      </c>
      <c r="O527" s="360" t="n">
        <f aca="false">O477*$L527</f>
        <v>0</v>
      </c>
      <c r="P527" s="360" t="n">
        <f aca="false">P477*$L527</f>
        <v>0</v>
      </c>
      <c r="Q527" s="360" t="n">
        <f aca="false">Q477*$L527</f>
        <v>0</v>
      </c>
      <c r="R527" s="360" t="n">
        <f aca="false">R477*$L527</f>
        <v>0</v>
      </c>
      <c r="S527" s="360" t="n">
        <f aca="false">S477*$L527</f>
        <v>0</v>
      </c>
      <c r="T527" s="360" t="n">
        <f aca="false">T477*$L527</f>
        <v>0</v>
      </c>
      <c r="U527" s="360" t="n">
        <f aca="false">U477*$L527</f>
        <v>0</v>
      </c>
      <c r="V527" s="360" t="n">
        <f aca="false">V477*$L527</f>
        <v>0</v>
      </c>
      <c r="W527" s="360" t="n">
        <f aca="false">W477*$L527</f>
        <v>0</v>
      </c>
      <c r="X527" s="360" t="n">
        <f aca="false">X477*$L527</f>
        <v>0</v>
      </c>
      <c r="Y527" s="360" t="n">
        <f aca="false">Y477*$L527</f>
        <v>0</v>
      </c>
      <c r="AF527" s="417" t="n">
        <f aca="false">SUM(N527:Y527)</f>
        <v>0</v>
      </c>
    </row>
    <row r="528" customFormat="false" ht="12.75" hidden="false" customHeight="true" outlineLevel="0" collapsed="false">
      <c r="A528" s="294" t="s">
        <v>231</v>
      </c>
      <c r="B528" s="294" t="s">
        <v>425</v>
      </c>
      <c r="C528" s="294" t="s">
        <v>6</v>
      </c>
      <c r="D528" s="294" t="s">
        <v>329</v>
      </c>
      <c r="E528" s="466" t="s">
        <v>433</v>
      </c>
      <c r="F528" s="466" t="s">
        <v>357</v>
      </c>
      <c r="H528" s="467" t="n">
        <v>36950</v>
      </c>
      <c r="I528" s="468" t="n">
        <v>10000</v>
      </c>
      <c r="K528" s="449" t="n">
        <v>0.0107</v>
      </c>
      <c r="L528" s="449" t="n">
        <v>0.0093</v>
      </c>
      <c r="M528" s="361" t="s">
        <v>346</v>
      </c>
      <c r="N528" s="360" t="n">
        <f aca="false">N478*$L528</f>
        <v>1527.99</v>
      </c>
      <c r="O528" s="360" t="n">
        <f aca="false">O478*$L528</f>
        <v>1406.16</v>
      </c>
      <c r="P528" s="360" t="n">
        <f aca="false">P478*$L528</f>
        <v>0</v>
      </c>
      <c r="Q528" s="360" t="n">
        <f aca="false">Q478*$L528</f>
        <v>0</v>
      </c>
      <c r="R528" s="360" t="n">
        <f aca="false">R478*$L528</f>
        <v>0</v>
      </c>
      <c r="S528" s="360" t="n">
        <f aca="false">S478*$L528</f>
        <v>0</v>
      </c>
      <c r="T528" s="360" t="n">
        <f aca="false">T478*$L528</f>
        <v>0</v>
      </c>
      <c r="U528" s="360" t="n">
        <f aca="false">U478*$L528</f>
        <v>0</v>
      </c>
      <c r="V528" s="360" t="n">
        <f aca="false">V478*$L528</f>
        <v>0</v>
      </c>
      <c r="W528" s="360" t="n">
        <f aca="false">W478*$L528</f>
        <v>0</v>
      </c>
      <c r="X528" s="360" t="n">
        <f aca="false">X478*$L528</f>
        <v>0</v>
      </c>
      <c r="Y528" s="360" t="n">
        <f aca="false">Y478*$L528</f>
        <v>0</v>
      </c>
      <c r="AF528" s="417" t="n">
        <f aca="false">SUM(N528:Y528)</f>
        <v>2934.15</v>
      </c>
    </row>
    <row r="529" customFormat="false" ht="12.75" hidden="false" customHeight="true" outlineLevel="0" collapsed="false">
      <c r="A529" s="294" t="s">
        <v>231</v>
      </c>
      <c r="B529" s="294" t="s">
        <v>425</v>
      </c>
      <c r="C529" s="294" t="s">
        <v>6</v>
      </c>
      <c r="D529" s="294" t="s">
        <v>329</v>
      </c>
      <c r="E529" s="466" t="n">
        <v>27161</v>
      </c>
      <c r="F529" s="466" t="s">
        <v>434</v>
      </c>
      <c r="H529" s="471" t="n">
        <v>37711</v>
      </c>
      <c r="I529" s="472" t="n">
        <v>400000</v>
      </c>
      <c r="K529" s="449" t="n">
        <v>0.0075</v>
      </c>
      <c r="L529" s="449" t="n">
        <v>0.0093</v>
      </c>
      <c r="M529" s="361" t="s">
        <v>352</v>
      </c>
      <c r="N529" s="360" t="n">
        <f aca="false">N479*$L529</f>
        <v>40362</v>
      </c>
      <c r="O529" s="360" t="n">
        <f aca="false">O479*$L529</f>
        <v>36456</v>
      </c>
      <c r="P529" s="360" t="n">
        <f aca="false">P479*$L529</f>
        <v>40362</v>
      </c>
      <c r="Q529" s="360" t="n">
        <f aca="false">Q479*$L529</f>
        <v>39060</v>
      </c>
      <c r="R529" s="360" t="n">
        <f aca="false">R479*$L529</f>
        <v>40362</v>
      </c>
      <c r="S529" s="360" t="n">
        <f aca="false">S479*$L529</f>
        <v>39060</v>
      </c>
      <c r="T529" s="360" t="n">
        <f aca="false">T479*$L529</f>
        <v>40362</v>
      </c>
      <c r="U529" s="360" t="n">
        <f aca="false">U479*$L529</f>
        <v>40362</v>
      </c>
      <c r="V529" s="360" t="n">
        <f aca="false">V479*$L529</f>
        <v>39060</v>
      </c>
      <c r="W529" s="360" t="n">
        <f aca="false">W479*$L529</f>
        <v>40362</v>
      </c>
      <c r="X529" s="360" t="n">
        <f aca="false">X479*$L529</f>
        <v>0</v>
      </c>
      <c r="Y529" s="360" t="n">
        <f aca="false">Y479*$L529</f>
        <v>0</v>
      </c>
      <c r="AF529" s="417"/>
    </row>
    <row r="530" customFormat="false" ht="12.75" hidden="false" customHeight="true" outlineLevel="0" collapsed="false">
      <c r="A530" s="294" t="s">
        <v>231</v>
      </c>
      <c r="B530" s="294" t="s">
        <v>425</v>
      </c>
      <c r="C530" s="294" t="s">
        <v>6</v>
      </c>
      <c r="D530" s="294" t="s">
        <v>329</v>
      </c>
      <c r="E530" s="466" t="s">
        <v>435</v>
      </c>
      <c r="F530" s="466" t="s">
        <v>350</v>
      </c>
      <c r="H530" s="376" t="n">
        <v>37925</v>
      </c>
      <c r="I530" s="472" t="n">
        <v>40000</v>
      </c>
      <c r="K530" s="449" t="n">
        <v>0.0507</v>
      </c>
      <c r="L530" s="449" t="n">
        <v>0.0093</v>
      </c>
      <c r="M530" s="361" t="s">
        <v>346</v>
      </c>
      <c r="N530" s="360" t="n">
        <f aca="false">N480*$L530</f>
        <v>6111.96</v>
      </c>
      <c r="O530" s="360" t="n">
        <f aca="false">O480*$L530</f>
        <v>5624.64</v>
      </c>
      <c r="P530" s="360" t="n">
        <f aca="false">P480*$L530</f>
        <v>6342.6</v>
      </c>
      <c r="Q530" s="360" t="n">
        <f aca="false">Q480*$L530</f>
        <v>6584.4</v>
      </c>
      <c r="R530" s="360" t="n">
        <f aca="false">R480*$L530</f>
        <v>7265.16</v>
      </c>
      <c r="S530" s="360" t="n">
        <f aca="false">S480*$L530</f>
        <v>7666.92</v>
      </c>
      <c r="T530" s="360" t="n">
        <f aca="false">T480*$L530</f>
        <v>6803.88</v>
      </c>
      <c r="U530" s="360" t="n">
        <f aca="false">U480*$L530</f>
        <v>7265.16</v>
      </c>
      <c r="V530" s="360" t="n">
        <f aca="false">V480*$L530</f>
        <v>5914.8</v>
      </c>
      <c r="W530" s="360" t="n">
        <f aca="false">W480*$L530</f>
        <v>7034.52</v>
      </c>
      <c r="X530" s="360" t="n">
        <f aca="false">X480*$L530</f>
        <v>0</v>
      </c>
      <c r="Y530" s="360" t="n">
        <f aca="false">Y480*$L530</f>
        <v>0</v>
      </c>
      <c r="AF530" s="417" t="n">
        <f aca="false">SUM(N530:Y530)</f>
        <v>66614.04</v>
      </c>
    </row>
    <row r="531" customFormat="false" ht="12.75" hidden="false" customHeight="true" outlineLevel="0" collapsed="false">
      <c r="A531" s="294" t="s">
        <v>231</v>
      </c>
      <c r="B531" s="294" t="s">
        <v>425</v>
      </c>
      <c r="C531" s="294" t="s">
        <v>6</v>
      </c>
      <c r="D531" s="294" t="s">
        <v>329</v>
      </c>
      <c r="E531" s="466" t="n">
        <v>27104</v>
      </c>
      <c r="F531" s="466" t="s">
        <v>436</v>
      </c>
      <c r="H531" s="467" t="n">
        <v>37652</v>
      </c>
      <c r="I531" s="472" t="n">
        <v>1613</v>
      </c>
      <c r="K531" s="449" t="n">
        <v>0.0407</v>
      </c>
      <c r="L531" s="449" t="n">
        <v>0.0033</v>
      </c>
      <c r="M531" s="361" t="s">
        <v>346</v>
      </c>
      <c r="N531" s="360" t="n">
        <f aca="false">N481*$L531</f>
        <v>87.455247</v>
      </c>
      <c r="O531" s="360" t="n">
        <f aca="false">O481*$L531</f>
        <v>80.482248</v>
      </c>
      <c r="P531" s="360" t="n">
        <f aca="false">P481*$L531</f>
        <v>90.755445</v>
      </c>
      <c r="Q531" s="360" t="n">
        <f aca="false">Q481*$L531</f>
        <v>94.21533</v>
      </c>
      <c r="R531" s="360" t="n">
        <f aca="false">R481*$L531</f>
        <v>103.956237</v>
      </c>
      <c r="S531" s="360" t="n">
        <f aca="false">S481*$L531</f>
        <v>109.704969</v>
      </c>
      <c r="T531" s="360" t="n">
        <f aca="false">T481*$L531</f>
        <v>846.929424</v>
      </c>
      <c r="U531" s="360" t="n">
        <f aca="false">U481*$L531</f>
        <v>675.683316</v>
      </c>
      <c r="V531" s="360" t="n">
        <f aca="false">V481*$L531</f>
        <v>67.6863</v>
      </c>
      <c r="W531" s="360" t="n">
        <f aca="false">W481*$L531</f>
        <v>0</v>
      </c>
      <c r="X531" s="360" t="n">
        <f aca="false">X481*$L531</f>
        <v>0</v>
      </c>
      <c r="Y531" s="360" t="n">
        <f aca="false">Y481*$L531</f>
        <v>0</v>
      </c>
      <c r="AF531" s="417" t="n">
        <f aca="false">SUM(N531:Y531)</f>
        <v>2156.868516</v>
      </c>
    </row>
    <row r="532" customFormat="false" ht="12.75" hidden="false" customHeight="true" outlineLevel="0" collapsed="false">
      <c r="A532" s="370" t="s">
        <v>231</v>
      </c>
      <c r="B532" s="370" t="s">
        <v>425</v>
      </c>
      <c r="C532" s="370" t="s">
        <v>6</v>
      </c>
      <c r="D532" s="370" t="s">
        <v>329</v>
      </c>
      <c r="E532" s="473" t="n">
        <v>24194</v>
      </c>
      <c r="F532" s="473" t="s">
        <v>437</v>
      </c>
      <c r="G532" s="370" t="s">
        <v>413</v>
      </c>
      <c r="H532" s="474"/>
      <c r="I532" s="475" t="n">
        <v>25000</v>
      </c>
      <c r="K532" s="457" t="n">
        <v>0.0707</v>
      </c>
      <c r="L532" s="479" t="n">
        <v>0.0093</v>
      </c>
      <c r="M532" s="382" t="s">
        <v>346</v>
      </c>
      <c r="N532" s="373" t="n">
        <f aca="false">N482*$L532</f>
        <v>0</v>
      </c>
      <c r="O532" s="373" t="n">
        <f aca="false">O482*$L532</f>
        <v>0</v>
      </c>
      <c r="P532" s="373" t="n">
        <f aca="false">P482*$L532</f>
        <v>0</v>
      </c>
      <c r="Q532" s="373" t="n">
        <f aca="false">Q482*$L532</f>
        <v>0</v>
      </c>
      <c r="W532" s="373" t="n">
        <f aca="false">W482*$L532</f>
        <v>6155.205</v>
      </c>
      <c r="X532" s="373" t="n">
        <f aca="false">X482*$L532</f>
        <v>13838.4</v>
      </c>
      <c r="Y532" s="373" t="n">
        <f aca="false">Y482*$L532</f>
        <v>14830.152</v>
      </c>
      <c r="AC532" s="417" t="n">
        <f aca="false">SUM(N532:Y532)</f>
        <v>34823.757</v>
      </c>
      <c r="AD532" s="417" t="n">
        <f aca="false">AC532</f>
        <v>34823.757</v>
      </c>
      <c r="AF532" s="417"/>
    </row>
    <row r="533" customFormat="false" ht="12.75" hidden="false" customHeight="true" outlineLevel="0" collapsed="false">
      <c r="A533" s="370" t="s">
        <v>231</v>
      </c>
      <c r="B533" s="370" t="s">
        <v>425</v>
      </c>
      <c r="C533" s="370" t="s">
        <v>6</v>
      </c>
      <c r="D533" s="370" t="s">
        <v>329</v>
      </c>
      <c r="E533" s="473" t="n">
        <v>24690</v>
      </c>
      <c r="F533" s="473" t="s">
        <v>430</v>
      </c>
      <c r="G533" s="370" t="s">
        <v>413</v>
      </c>
      <c r="H533" s="474"/>
      <c r="I533" s="475" t="n">
        <v>0</v>
      </c>
      <c r="K533" s="457" t="n">
        <v>0.0257</v>
      </c>
      <c r="L533" s="457" t="n">
        <v>0.0093</v>
      </c>
      <c r="M533" s="382" t="s">
        <v>346</v>
      </c>
      <c r="N533" s="373" t="n">
        <f aca="false">N483*$L533</f>
        <v>0</v>
      </c>
      <c r="O533" s="373" t="n">
        <f aca="false">O483*$L533</f>
        <v>0</v>
      </c>
      <c r="P533" s="373" t="n">
        <f aca="false">P483*$L533</f>
        <v>0</v>
      </c>
      <c r="Q533" s="373" t="n">
        <f aca="false">Q483*$L533</f>
        <v>0</v>
      </c>
      <c r="R533" s="373" t="n">
        <f aca="false">R483*$L533</f>
        <v>0</v>
      </c>
      <c r="S533" s="373" t="n">
        <f aca="false">S483*$L533</f>
        <v>0</v>
      </c>
      <c r="T533" s="373" t="n">
        <f aca="false">T483*$L533</f>
        <v>0</v>
      </c>
      <c r="U533" s="373" t="n">
        <f aca="false">U483*$L533</f>
        <v>0</v>
      </c>
      <c r="V533" s="373" t="n">
        <f aca="false">V483*$L533</f>
        <v>0</v>
      </c>
      <c r="W533" s="373" t="n">
        <f aca="false">W483*$L533</f>
        <v>0</v>
      </c>
      <c r="X533" s="373" t="n">
        <f aca="false">X483*$L533</f>
        <v>0</v>
      </c>
      <c r="Y533" s="373" t="n">
        <f aca="false">Y483*$L533</f>
        <v>0</v>
      </c>
      <c r="AC533" s="417" t="n">
        <f aca="false">SUM(N533:Y533)</f>
        <v>0</v>
      </c>
      <c r="AD533" s="417" t="n">
        <f aca="false">AC533</f>
        <v>0</v>
      </c>
      <c r="AF533" s="417"/>
    </row>
    <row r="534" customFormat="false" ht="12.75" hidden="false" customHeight="true" outlineLevel="0" collapsed="false">
      <c r="A534" s="370" t="s">
        <v>231</v>
      </c>
      <c r="B534" s="370" t="s">
        <v>425</v>
      </c>
      <c r="C534" s="370" t="s">
        <v>6</v>
      </c>
      <c r="D534" s="370" t="s">
        <v>329</v>
      </c>
      <c r="E534" s="473" t="n">
        <v>24754</v>
      </c>
      <c r="F534" s="473" t="s">
        <v>431</v>
      </c>
      <c r="G534" s="380" t="s">
        <v>421</v>
      </c>
      <c r="H534" s="470" t="n">
        <v>38472</v>
      </c>
      <c r="I534" s="475" t="n">
        <v>1000</v>
      </c>
      <c r="K534" s="457" t="n">
        <v>0.0907</v>
      </c>
      <c r="L534" s="457" t="n">
        <v>0.0093</v>
      </c>
      <c r="M534" s="382" t="s">
        <v>346</v>
      </c>
      <c r="N534" s="360" t="n">
        <f aca="false">N484*$L534</f>
        <v>0</v>
      </c>
      <c r="O534" s="360" t="n">
        <f aca="false">O484*$L534</f>
        <v>0</v>
      </c>
      <c r="P534" s="360" t="n">
        <f aca="false">P484*$L534</f>
        <v>0</v>
      </c>
      <c r="Q534" s="360" t="n">
        <f aca="false">Q484*$L534</f>
        <v>0</v>
      </c>
      <c r="R534" s="373" t="n">
        <f aca="false">R484*$L534</f>
        <v>181.629</v>
      </c>
      <c r="S534" s="373" t="n">
        <f aca="false">S484*$L534</f>
        <v>191.673</v>
      </c>
      <c r="T534" s="373" t="n">
        <f aca="false">T484*$L534</f>
        <v>170.097</v>
      </c>
      <c r="U534" s="373" t="n">
        <f aca="false">U484*$L534</f>
        <v>181.629</v>
      </c>
      <c r="V534" s="373" t="n">
        <f aca="false">V484*$L534</f>
        <v>147.87</v>
      </c>
      <c r="W534" s="373" t="n">
        <f aca="false">W484*$L534</f>
        <v>175.863</v>
      </c>
      <c r="X534" s="373" t="n">
        <f aca="false">X484*$L534</f>
        <v>172.98</v>
      </c>
      <c r="Y534" s="373" t="n">
        <f aca="false">Y484*$L534</f>
        <v>185.3769</v>
      </c>
      <c r="AC534" s="417" t="n">
        <f aca="false">SUM(N534:Y534)</f>
        <v>1407.1179</v>
      </c>
      <c r="AD534" s="417" t="n">
        <f aca="false">AC534</f>
        <v>1407.1179</v>
      </c>
      <c r="AF534" s="417"/>
    </row>
    <row r="535" customFormat="false" ht="12.75" hidden="false" customHeight="true" outlineLevel="0" collapsed="false">
      <c r="A535" s="370" t="s">
        <v>231</v>
      </c>
      <c r="B535" s="370" t="s">
        <v>425</v>
      </c>
      <c r="C535" s="370" t="s">
        <v>6</v>
      </c>
      <c r="D535" s="370" t="s">
        <v>329</v>
      </c>
      <c r="E535" s="445" t="n">
        <v>27349</v>
      </c>
      <c r="F535" s="380" t="s">
        <v>357</v>
      </c>
      <c r="G535" s="387" t="n">
        <v>36892</v>
      </c>
      <c r="H535" s="376" t="n">
        <v>38717</v>
      </c>
      <c r="I535" s="381" t="n">
        <v>20000</v>
      </c>
      <c r="K535" s="456" t="n">
        <v>0.0407</v>
      </c>
      <c r="L535" s="456" t="n">
        <v>0.0093</v>
      </c>
      <c r="M535" s="382" t="s">
        <v>346</v>
      </c>
      <c r="N535" s="373" t="n">
        <f aca="false">N485*$L535</f>
        <v>3055.98</v>
      </c>
      <c r="O535" s="373" t="n">
        <f aca="false">O485*$L535</f>
        <v>2812.32</v>
      </c>
      <c r="P535" s="373" t="n">
        <f aca="false">P485*$L535</f>
        <v>3171.3</v>
      </c>
      <c r="Q535" s="373" t="n">
        <f aca="false">Q485*$L535</f>
        <v>3292.2</v>
      </c>
      <c r="R535" s="373" t="n">
        <f aca="false">R485*$L535</f>
        <v>3632.58</v>
      </c>
      <c r="S535" s="373" t="n">
        <f aca="false">S485*$L535</f>
        <v>3833.46</v>
      </c>
      <c r="T535" s="373" t="n">
        <f aca="false">T485*$L535</f>
        <v>3401.94</v>
      </c>
      <c r="U535" s="373" t="n">
        <f aca="false">U485*$L535</f>
        <v>3632.58</v>
      </c>
      <c r="V535" s="373" t="n">
        <f aca="false">V485*$L535</f>
        <v>2957.4</v>
      </c>
      <c r="W535" s="373" t="n">
        <f aca="false">W485*$L535</f>
        <v>3517.26</v>
      </c>
      <c r="X535" s="373" t="n">
        <f aca="false">X485*$L535</f>
        <v>3459.6</v>
      </c>
      <c r="Y535" s="373" t="n">
        <f aca="false">Y485*$L535</f>
        <v>3707.538</v>
      </c>
      <c r="AC535" s="417" t="n">
        <f aca="false">SUM(N535:Y535)</f>
        <v>40474.158</v>
      </c>
      <c r="AD535" s="417" t="n">
        <f aca="false">AC535</f>
        <v>40474.158</v>
      </c>
      <c r="AF535" s="417"/>
    </row>
    <row r="536" customFormat="false" ht="12.75" hidden="false" customHeight="true" outlineLevel="0" collapsed="false">
      <c r="A536" s="370" t="s">
        <v>231</v>
      </c>
      <c r="B536" s="370" t="s">
        <v>425</v>
      </c>
      <c r="C536" s="370" t="s">
        <v>6</v>
      </c>
      <c r="D536" s="370" t="s">
        <v>329</v>
      </c>
      <c r="E536" s="446" t="n">
        <v>27161</v>
      </c>
      <c r="F536" s="370" t="s">
        <v>434</v>
      </c>
      <c r="G536" s="380" t="s">
        <v>421</v>
      </c>
      <c r="H536" s="471" t="n">
        <v>37711</v>
      </c>
      <c r="I536" s="373" t="n">
        <v>400000</v>
      </c>
      <c r="K536" s="457" t="n">
        <v>0.0075</v>
      </c>
      <c r="L536" s="457" t="n">
        <v>0.0093</v>
      </c>
      <c r="M536" s="382" t="s">
        <v>352</v>
      </c>
      <c r="N536" s="360" t="n">
        <f aca="false">N486*$L536</f>
        <v>0</v>
      </c>
      <c r="O536" s="360" t="n">
        <f aca="false">O486*$L536</f>
        <v>0</v>
      </c>
      <c r="P536" s="360" t="n">
        <f aca="false">P486*$L536</f>
        <v>0</v>
      </c>
      <c r="Q536" s="360" t="n">
        <f aca="false">Q486*$L536</f>
        <v>0</v>
      </c>
      <c r="R536" s="373" t="n">
        <f aca="false">R486*$L536</f>
        <v>0</v>
      </c>
      <c r="S536" s="373" t="n">
        <f aca="false">S486*$L536</f>
        <v>0</v>
      </c>
      <c r="T536" s="373" t="n">
        <f aca="false">T486*$L536</f>
        <v>0</v>
      </c>
      <c r="U536" s="373" t="n">
        <f aca="false">U486*$L536</f>
        <v>0</v>
      </c>
      <c r="V536" s="373" t="n">
        <f aca="false">V486*$L536</f>
        <v>0</v>
      </c>
      <c r="W536" s="373" t="n">
        <f aca="false">W486*$L536</f>
        <v>0</v>
      </c>
      <c r="X536" s="373" t="n">
        <f aca="false">X486*$L536</f>
        <v>39060</v>
      </c>
      <c r="Y536" s="373" t="n">
        <f aca="false">Y486*$L536</f>
        <v>40362</v>
      </c>
      <c r="AC536" s="417" t="n">
        <f aca="false">SUM(N536:Y536)</f>
        <v>79422</v>
      </c>
      <c r="AD536" s="417" t="n">
        <f aca="false">AC536</f>
        <v>79422</v>
      </c>
      <c r="AF536" s="417"/>
    </row>
    <row r="537" customFormat="false" ht="12.75" hidden="false" customHeight="true" outlineLevel="0" collapsed="false">
      <c r="A537" s="370" t="s">
        <v>231</v>
      </c>
      <c r="B537" s="370" t="s">
        <v>425</v>
      </c>
      <c r="C537" s="370" t="s">
        <v>6</v>
      </c>
      <c r="D537" s="370" t="s">
        <v>329</v>
      </c>
      <c r="E537" s="446" t="n">
        <v>26490</v>
      </c>
      <c r="F537" s="370" t="s">
        <v>350</v>
      </c>
      <c r="G537" s="380" t="s">
        <v>421</v>
      </c>
      <c r="H537" s="376" t="n">
        <v>37925</v>
      </c>
      <c r="I537" s="373" t="n">
        <v>40000</v>
      </c>
      <c r="K537" s="457" t="n">
        <v>0.0607</v>
      </c>
      <c r="L537" s="457" t="n">
        <v>0.0093</v>
      </c>
      <c r="M537" s="382" t="s">
        <v>346</v>
      </c>
      <c r="N537" s="360" t="n">
        <f aca="false">N487*$L537</f>
        <v>0</v>
      </c>
      <c r="O537" s="360" t="n">
        <f aca="false">O487*$L537</f>
        <v>0</v>
      </c>
      <c r="P537" s="360" t="n">
        <f aca="false">P487*$L537</f>
        <v>0</v>
      </c>
      <c r="Q537" s="360" t="n">
        <f aca="false">Q487*$L537</f>
        <v>0</v>
      </c>
      <c r="R537" s="373" t="n">
        <f aca="false">R487*$L537</f>
        <v>0</v>
      </c>
      <c r="S537" s="373" t="n">
        <f aca="false">S487*$L537</f>
        <v>0</v>
      </c>
      <c r="T537" s="373" t="n">
        <f aca="false">T487*$L537</f>
        <v>0</v>
      </c>
      <c r="U537" s="373" t="n">
        <f aca="false">U487*$L537</f>
        <v>0</v>
      </c>
      <c r="V537" s="373" t="n">
        <f aca="false">V487*$L537</f>
        <v>0</v>
      </c>
      <c r="W537" s="373" t="n">
        <f aca="false">W487*$L537</f>
        <v>0</v>
      </c>
      <c r="X537" s="373" t="n">
        <f aca="false">X487*$L537</f>
        <v>6919.2</v>
      </c>
      <c r="Y537" s="373" t="n">
        <f aca="false">Y487*$L537</f>
        <v>7415.076</v>
      </c>
      <c r="AC537" s="417" t="n">
        <f aca="false">SUM(N537:Y537)</f>
        <v>14334.276</v>
      </c>
      <c r="AD537" s="417" t="n">
        <f aca="false">AC537</f>
        <v>14334.276</v>
      </c>
      <c r="AF537" s="417"/>
    </row>
    <row r="538" customFormat="false" ht="12.75" hidden="false" customHeight="true" outlineLevel="0" collapsed="false">
      <c r="A538" s="380" t="s">
        <v>231</v>
      </c>
      <c r="B538" s="380" t="s">
        <v>425</v>
      </c>
      <c r="C538" s="380" t="s">
        <v>6</v>
      </c>
      <c r="D538" s="380" t="s">
        <v>329</v>
      </c>
      <c r="E538" s="445" t="n">
        <v>27420</v>
      </c>
      <c r="F538" s="380" t="s">
        <v>438</v>
      </c>
      <c r="G538" s="387" t="n">
        <v>36861</v>
      </c>
      <c r="H538" s="376" t="n">
        <v>37225</v>
      </c>
      <c r="I538" s="381" t="n">
        <v>1932</v>
      </c>
      <c r="K538" s="456" t="n">
        <v>0.0557</v>
      </c>
      <c r="L538" s="456" t="n">
        <v>0.0093</v>
      </c>
      <c r="M538" s="382" t="s">
        <v>346</v>
      </c>
      <c r="N538" s="381" t="n">
        <f aca="false">N488*$L538</f>
        <v>295.207668</v>
      </c>
      <c r="O538" s="381" t="n">
        <f aca="false">O488*$L538</f>
        <v>271.670112</v>
      </c>
      <c r="P538" s="381" t="n">
        <f aca="false">P488*$L538</f>
        <v>306.34758</v>
      </c>
      <c r="Q538" s="381" t="n">
        <f aca="false">Q488*$L538</f>
        <v>318.02652</v>
      </c>
      <c r="R538" s="381" t="n">
        <f aca="false">R488*$L538</f>
        <v>350.907228</v>
      </c>
      <c r="S538" s="381" t="n">
        <f aca="false">S488*$L538</f>
        <v>370.312236</v>
      </c>
      <c r="T538" s="381" t="n">
        <f aca="false">T488*$L538</f>
        <v>425.2425</v>
      </c>
      <c r="U538" s="381" t="n">
        <f aca="false">U488*$L538</f>
        <v>454.0725</v>
      </c>
      <c r="V538" s="381" t="n">
        <f aca="false">V488*$L538</f>
        <v>369.675</v>
      </c>
      <c r="W538" s="381" t="n">
        <f aca="false">W488*$L538</f>
        <v>439.6575</v>
      </c>
      <c r="X538" s="381" t="n">
        <f aca="false">X488*$L538</f>
        <v>432.45</v>
      </c>
      <c r="Y538" s="381" t="n">
        <f aca="false">Y488*$L538</f>
        <v>0</v>
      </c>
      <c r="AC538" s="417"/>
      <c r="AD538" s="417"/>
      <c r="AF538" s="417"/>
    </row>
    <row r="539" customFormat="false" ht="12.75" hidden="false" customHeight="true" outlineLevel="0" collapsed="false">
      <c r="A539" s="380" t="s">
        <v>231</v>
      </c>
      <c r="B539" s="380" t="s">
        <v>425</v>
      </c>
      <c r="C539" s="380" t="s">
        <v>6</v>
      </c>
      <c r="D539" s="380" t="s">
        <v>329</v>
      </c>
      <c r="E539" s="445" t="n">
        <v>27377</v>
      </c>
      <c r="F539" s="380" t="s">
        <v>350</v>
      </c>
      <c r="G539" s="387" t="n">
        <v>36951</v>
      </c>
      <c r="H539" s="376" t="n">
        <v>37315</v>
      </c>
      <c r="I539" s="381" t="n">
        <v>10000</v>
      </c>
      <c r="K539" s="456" t="n">
        <v>0.0407</v>
      </c>
      <c r="L539" s="456" t="n">
        <v>0.0093</v>
      </c>
      <c r="M539" s="382" t="s">
        <v>346</v>
      </c>
      <c r="N539" s="381" t="n">
        <f aca="false">N489*$L539</f>
        <v>0</v>
      </c>
      <c r="O539" s="381" t="n">
        <f aca="false">O489*$L539</f>
        <v>0</v>
      </c>
      <c r="P539" s="381" t="n">
        <f aca="false">P489*$L539</f>
        <v>1585.65</v>
      </c>
      <c r="Q539" s="381" t="n">
        <f aca="false">Q489*$L539</f>
        <v>1646.1</v>
      </c>
      <c r="R539" s="381" t="n">
        <f aca="false">R489*$L539</f>
        <v>1816.29</v>
      </c>
      <c r="S539" s="381" t="n">
        <f aca="false">S489*$L539</f>
        <v>1916.73</v>
      </c>
      <c r="T539" s="381" t="n">
        <f aca="false">T489*$L539</f>
        <v>1700.97</v>
      </c>
      <c r="U539" s="381" t="n">
        <f aca="false">U489*$L539</f>
        <v>1816.29</v>
      </c>
      <c r="V539" s="381" t="n">
        <f aca="false">V489*$L539</f>
        <v>1478.7</v>
      </c>
      <c r="W539" s="381" t="n">
        <f aca="false">W489*$L539</f>
        <v>1758.63</v>
      </c>
      <c r="X539" s="381" t="n">
        <f aca="false">X489*$L539</f>
        <v>1729.8</v>
      </c>
      <c r="Y539" s="381" t="n">
        <f aca="false">Y489*$L539</f>
        <v>1853.769</v>
      </c>
      <c r="AC539" s="417"/>
      <c r="AD539" s="417"/>
      <c r="AF539" s="417"/>
    </row>
    <row r="540" customFormat="false" ht="12.75" hidden="false" customHeight="true" outlineLevel="0" collapsed="false">
      <c r="A540" s="380" t="s">
        <v>231</v>
      </c>
      <c r="B540" s="380" t="s">
        <v>425</v>
      </c>
      <c r="C540" s="380" t="s">
        <v>6</v>
      </c>
      <c r="D540" s="380" t="s">
        <v>329</v>
      </c>
      <c r="E540" s="445" t="n">
        <v>27495</v>
      </c>
      <c r="F540" s="380" t="s">
        <v>439</v>
      </c>
      <c r="G540" s="387" t="n">
        <v>36951</v>
      </c>
      <c r="H540" s="376" t="n">
        <v>37711</v>
      </c>
      <c r="I540" s="381" t="n">
        <v>50000</v>
      </c>
      <c r="K540" s="456" t="n">
        <v>0.0232</v>
      </c>
      <c r="L540" s="456" t="n">
        <v>0.0093</v>
      </c>
      <c r="M540" s="382" t="s">
        <v>346</v>
      </c>
      <c r="N540" s="381" t="n">
        <f aca="false">N490*$L540</f>
        <v>0</v>
      </c>
      <c r="O540" s="381" t="n">
        <f aca="false">O490*$L540</f>
        <v>0</v>
      </c>
      <c r="P540" s="381" t="n">
        <f aca="false">P490*$L540</f>
        <v>7928.25</v>
      </c>
      <c r="Q540" s="381" t="n">
        <f aca="false">Q490*$L540</f>
        <v>8230.5</v>
      </c>
      <c r="R540" s="381" t="n">
        <f aca="false">R490*$L540</f>
        <v>9081.45</v>
      </c>
      <c r="S540" s="381" t="n">
        <f aca="false">S490*$L540</f>
        <v>9583.65</v>
      </c>
      <c r="T540" s="381" t="n">
        <f aca="false">T490*$L540</f>
        <v>8504.85</v>
      </c>
      <c r="U540" s="381" t="n">
        <f aca="false">U490*$L540</f>
        <v>9081.45</v>
      </c>
      <c r="V540" s="381" t="n">
        <f aca="false">V490*$L540</f>
        <v>7393.5</v>
      </c>
      <c r="W540" s="381" t="n">
        <f aca="false">W490*$L540</f>
        <v>8793.15</v>
      </c>
      <c r="X540" s="381" t="n">
        <f aca="false">X490*$L540</f>
        <v>8649</v>
      </c>
      <c r="Y540" s="381" t="n">
        <f aca="false">Y490*$L540</f>
        <v>9268.845</v>
      </c>
      <c r="AC540" s="417"/>
      <c r="AD540" s="417"/>
      <c r="AF540" s="417"/>
    </row>
    <row r="541" customFormat="false" ht="12.75" hidden="false" customHeight="true" outlineLevel="0" collapsed="false">
      <c r="A541" s="389" t="s">
        <v>231</v>
      </c>
      <c r="B541" s="389" t="s">
        <v>425</v>
      </c>
      <c r="C541" s="389" t="s">
        <v>6</v>
      </c>
      <c r="D541" s="389" t="s">
        <v>329</v>
      </c>
      <c r="E541" s="476" t="n">
        <v>27579</v>
      </c>
      <c r="F541" s="389" t="s">
        <v>357</v>
      </c>
      <c r="G541" s="390" t="n">
        <v>37012</v>
      </c>
      <c r="H541" s="391" t="n">
        <v>37407</v>
      </c>
      <c r="I541" s="392" t="n">
        <v>20000</v>
      </c>
      <c r="J541" s="389"/>
      <c r="K541" s="480" t="n">
        <v>0.0507</v>
      </c>
      <c r="L541" s="480" t="n">
        <v>0.0093</v>
      </c>
      <c r="M541" s="416" t="s">
        <v>346</v>
      </c>
      <c r="N541" s="381"/>
      <c r="O541" s="381"/>
      <c r="P541" s="381"/>
      <c r="Q541" s="381"/>
      <c r="R541" s="392" t="n">
        <f aca="false">R491*$L541</f>
        <v>3632.58</v>
      </c>
      <c r="S541" s="392" t="n">
        <f aca="false">S491*$L541</f>
        <v>3833.46</v>
      </c>
      <c r="T541" s="392" t="n">
        <f aca="false">T491*$L541</f>
        <v>3401.94</v>
      </c>
      <c r="U541" s="392" t="n">
        <f aca="false">U491*$L541</f>
        <v>3632.58</v>
      </c>
      <c r="V541" s="392" t="n">
        <f aca="false">V491*$L541</f>
        <v>2957.4</v>
      </c>
      <c r="W541" s="392" t="n">
        <f aca="false">W491*$L541</f>
        <v>3517.26</v>
      </c>
      <c r="X541" s="392" t="n">
        <f aca="false">X491*$L541</f>
        <v>3459.6</v>
      </c>
      <c r="Y541" s="392" t="n">
        <f aca="false">Y491*$L541</f>
        <v>3707.538</v>
      </c>
      <c r="Z541" s="428" t="n">
        <f aca="false">SUM(N541:Y541)</f>
        <v>28142.358</v>
      </c>
      <c r="AC541" s="417"/>
      <c r="AD541" s="417"/>
      <c r="AF541" s="417"/>
    </row>
    <row r="542" customFormat="false" ht="12.75" hidden="false" customHeight="true" outlineLevel="0" collapsed="false">
      <c r="A542" s="380" t="s">
        <v>231</v>
      </c>
      <c r="B542" s="380" t="s">
        <v>425</v>
      </c>
      <c r="C542" s="380" t="s">
        <v>6</v>
      </c>
      <c r="D542" s="380" t="s">
        <v>329</v>
      </c>
      <c r="E542" s="445" t="n">
        <v>27529</v>
      </c>
      <c r="F542" s="380" t="s">
        <v>419</v>
      </c>
      <c r="G542" s="387" t="n">
        <v>36951</v>
      </c>
      <c r="H542" s="376" t="n">
        <v>36981</v>
      </c>
      <c r="I542" s="381" t="n">
        <v>100000</v>
      </c>
      <c r="K542" s="456" t="n">
        <v>0.0007</v>
      </c>
      <c r="L542" s="456" t="n">
        <v>0.0093</v>
      </c>
      <c r="M542" s="382" t="s">
        <v>346</v>
      </c>
      <c r="P542" s="381" t="n">
        <f aca="false">P492*$L542</f>
        <v>15856.5</v>
      </c>
      <c r="X542" s="373"/>
      <c r="Y542" s="373"/>
      <c r="Z542" s="333"/>
      <c r="AA542" s="333"/>
      <c r="AB542" s="333"/>
      <c r="AC542" s="448"/>
      <c r="AD542" s="448"/>
      <c r="AE542" s="333"/>
      <c r="AF542" s="448"/>
      <c r="AG542" s="333"/>
      <c r="AH542" s="333"/>
      <c r="AI542" s="333"/>
      <c r="AJ542" s="333"/>
      <c r="AK542" s="333"/>
      <c r="AL542" s="333"/>
      <c r="AM542" s="333"/>
      <c r="AN542" s="333"/>
      <c r="AO542" s="333"/>
      <c r="AP542" s="333"/>
      <c r="AQ542" s="333"/>
      <c r="AR542" s="333"/>
      <c r="AS542" s="333"/>
      <c r="AT542" s="333"/>
      <c r="AU542" s="333"/>
      <c r="AV542" s="333"/>
      <c r="AW542" s="333"/>
      <c r="AX542" s="333"/>
      <c r="AY542" s="333"/>
      <c r="AZ542" s="333"/>
      <c r="BA542" s="333"/>
      <c r="BB542" s="333"/>
      <c r="BC542" s="333"/>
      <c r="BD542" s="333"/>
      <c r="BE542" s="333"/>
      <c r="BF542" s="333"/>
      <c r="BG542" s="333"/>
      <c r="BH542" s="333"/>
      <c r="BI542" s="333"/>
      <c r="BJ542" s="333"/>
      <c r="BK542" s="333"/>
      <c r="BL542" s="333"/>
      <c r="BM542" s="333"/>
      <c r="BN542" s="333"/>
      <c r="BO542" s="333"/>
      <c r="BP542" s="333"/>
      <c r="BQ542" s="333"/>
      <c r="BR542" s="333"/>
      <c r="BS542" s="333"/>
      <c r="BT542" s="333"/>
      <c r="BU542" s="333"/>
      <c r="BV542" s="333"/>
      <c r="BW542" s="333"/>
      <c r="BX542" s="333"/>
      <c r="BY542" s="333"/>
      <c r="BZ542" s="333"/>
      <c r="CA542" s="333"/>
      <c r="CB542" s="333"/>
      <c r="CC542" s="333"/>
      <c r="CD542" s="333"/>
    </row>
    <row r="543" customFormat="false" ht="12.75" hidden="false" customHeight="true" outlineLevel="0" collapsed="false">
      <c r="A543" s="380" t="s">
        <v>231</v>
      </c>
      <c r="B543" s="380" t="s">
        <v>425</v>
      </c>
      <c r="C543" s="380" t="s">
        <v>6</v>
      </c>
      <c r="D543" s="380" t="s">
        <v>329</v>
      </c>
      <c r="E543" s="445" t="n">
        <v>27600</v>
      </c>
      <c r="F543" s="380" t="s">
        <v>440</v>
      </c>
      <c r="G543" s="387" t="n">
        <v>37043</v>
      </c>
      <c r="H543" s="376" t="n">
        <v>37407</v>
      </c>
      <c r="I543" s="396" t="n">
        <v>2500</v>
      </c>
      <c r="K543" s="456" t="n">
        <v>0.0807</v>
      </c>
      <c r="L543" s="456" t="n">
        <v>0.0093</v>
      </c>
      <c r="M543" s="382" t="s">
        <v>346</v>
      </c>
      <c r="N543" s="368"/>
      <c r="O543" s="368"/>
      <c r="P543" s="396"/>
      <c r="Q543" s="368"/>
      <c r="R543" s="368"/>
      <c r="S543" s="368"/>
      <c r="T543" s="477" t="n">
        <f aca="false">T493*$L543</f>
        <v>425.2425</v>
      </c>
      <c r="U543" s="477" t="n">
        <f aca="false">U493*$L543</f>
        <v>454.0725</v>
      </c>
      <c r="V543" s="477" t="n">
        <f aca="false">V493*$L543</f>
        <v>369.675</v>
      </c>
      <c r="W543" s="477" t="n">
        <f aca="false">W493*$L543</f>
        <v>439.6575</v>
      </c>
      <c r="X543" s="477" t="n">
        <f aca="false">X493*$L543</f>
        <v>432.45</v>
      </c>
      <c r="Y543" s="477" t="n">
        <f aca="false">Y493*$L543</f>
        <v>463.44225</v>
      </c>
      <c r="AC543" s="417"/>
      <c r="AD543" s="417"/>
      <c r="AF543" s="417"/>
    </row>
    <row r="544" customFormat="false" ht="12.75" hidden="false" customHeight="true" outlineLevel="0" collapsed="false">
      <c r="I544" s="360" t="n">
        <f aca="false">SUM(I521:I543)</f>
        <v>1226759</v>
      </c>
      <c r="N544" s="360" t="n">
        <f aca="false">SUM(N521:N542)</f>
        <v>69732.772401</v>
      </c>
      <c r="O544" s="360" t="n">
        <f aca="false">SUM(O521:O542)</f>
        <v>63484.976184</v>
      </c>
      <c r="P544" s="360" t="n">
        <f aca="false">SUM(P521:P542)</f>
        <v>92247.378435</v>
      </c>
      <c r="Q544" s="360" t="n">
        <f aca="false">SUM(Q521:Q542)</f>
        <v>73993.26339</v>
      </c>
      <c r="R544" s="360" t="n">
        <f aca="false">SUM(R521:R542)</f>
        <v>79815.152571</v>
      </c>
      <c r="S544" s="360" t="n">
        <f aca="false">SUM(S521:S542)</f>
        <v>80694.893727</v>
      </c>
      <c r="T544" s="360" t="n">
        <f aca="false">SUM(T521:T543)</f>
        <v>78581.621682</v>
      </c>
      <c r="U544" s="360" t="n">
        <f aca="false">SUM(U521:U543)</f>
        <v>80944.117422</v>
      </c>
      <c r="V544" s="360" t="n">
        <f aca="false">SUM(V521:V543)</f>
        <v>66335.7663</v>
      </c>
      <c r="W544" s="360" t="n">
        <f aca="false">SUM(W521:W543)</f>
        <v>77117.367</v>
      </c>
      <c r="X544" s="360" t="n">
        <f aca="false">SUM(X521:X543)</f>
        <v>82996.92</v>
      </c>
      <c r="Y544" s="360" t="n">
        <f aca="false">SUM(Y521:Y543)</f>
        <v>93604.8409566</v>
      </c>
      <c r="Z544" s="417" t="n">
        <f aca="false">SUM(N544:Y544)</f>
        <v>939549.0700686</v>
      </c>
      <c r="AD544" s="417" t="n">
        <f aca="false">AC544</f>
        <v>0</v>
      </c>
      <c r="AE544" s="417" t="n">
        <f aca="false">Z544</f>
        <v>939549.0700686</v>
      </c>
    </row>
    <row r="545" customFormat="false" ht="12.75" hidden="false" customHeight="true" outlineLevel="0" collapsed="false">
      <c r="AD545" s="417" t="n">
        <f aca="false">AC545</f>
        <v>0</v>
      </c>
    </row>
    <row r="546" customFormat="false" ht="12.75" hidden="false" customHeight="true" outlineLevel="0" collapsed="false">
      <c r="A546" s="294" t="s">
        <v>231</v>
      </c>
      <c r="B546" s="294" t="s">
        <v>425</v>
      </c>
      <c r="C546" s="294" t="s">
        <v>5</v>
      </c>
      <c r="D546" s="294" t="s">
        <v>367</v>
      </c>
      <c r="N546" s="360" t="n">
        <v>35200</v>
      </c>
      <c r="O546" s="360" t="n">
        <v>23900</v>
      </c>
      <c r="P546" s="360" t="n">
        <v>26400</v>
      </c>
      <c r="Q546" s="360" t="n">
        <v>23900</v>
      </c>
      <c r="R546" s="360" t="n">
        <v>20000</v>
      </c>
      <c r="S546" s="360" t="n">
        <v>23900</v>
      </c>
      <c r="T546" s="360" t="n">
        <v>22800</v>
      </c>
      <c r="U546" s="360" t="n">
        <v>12200</v>
      </c>
      <c r="V546" s="360" t="n">
        <v>20200</v>
      </c>
      <c r="W546" s="360" t="n">
        <v>10600</v>
      </c>
      <c r="X546" s="360" t="n">
        <v>13800</v>
      </c>
      <c r="Y546" s="360" t="n">
        <v>27300</v>
      </c>
    </row>
    <row r="547" customFormat="false" ht="12.75" hidden="false" customHeight="true" outlineLevel="0" collapsed="false">
      <c r="A547" s="294" t="s">
        <v>231</v>
      </c>
      <c r="B547" s="294" t="s">
        <v>425</v>
      </c>
      <c r="C547" s="294" t="s">
        <v>225</v>
      </c>
      <c r="D547" s="294" t="s">
        <v>367</v>
      </c>
      <c r="N547" s="357" t="n">
        <v>0.0529</v>
      </c>
      <c r="O547" s="357" t="n">
        <v>0.0376</v>
      </c>
      <c r="P547" s="357" t="n">
        <v>0.0502</v>
      </c>
      <c r="Q547" s="357" t="n">
        <v>0.038</v>
      </c>
      <c r="R547" s="357" t="n">
        <v>0.0443</v>
      </c>
      <c r="S547" s="357" t="n">
        <v>0.0478</v>
      </c>
      <c r="T547" s="357" t="n">
        <v>0.0603</v>
      </c>
      <c r="U547" s="357" t="n">
        <v>0.0323</v>
      </c>
      <c r="V547" s="357" t="n">
        <v>0.04</v>
      </c>
      <c r="W547" s="357" t="n">
        <v>0.0312</v>
      </c>
      <c r="X547" s="357" t="n">
        <v>0.0427</v>
      </c>
      <c r="Y547" s="357" t="n">
        <v>0.0491</v>
      </c>
    </row>
    <row r="548" customFormat="false" ht="12.75" hidden="false" customHeight="true" outlineLevel="0" collapsed="false">
      <c r="A548" s="294" t="s">
        <v>231</v>
      </c>
      <c r="B548" s="294" t="s">
        <v>425</v>
      </c>
      <c r="C548" s="294" t="s">
        <v>6</v>
      </c>
      <c r="D548" s="294" t="s">
        <v>367</v>
      </c>
      <c r="N548" s="360" t="n">
        <f aca="false">N546*N547*N1</f>
        <v>57724.48</v>
      </c>
      <c r="O548" s="360" t="n">
        <f aca="false">O546*O547*O1</f>
        <v>25161.92</v>
      </c>
      <c r="P548" s="360" t="n">
        <f aca="false">P546*P547*P1</f>
        <v>41083.68</v>
      </c>
      <c r="Q548" s="360" t="n">
        <f aca="false">Q546*Q547*Q1</f>
        <v>27246</v>
      </c>
      <c r="R548" s="360" t="n">
        <f aca="false">R546*R547*R1</f>
        <v>27466</v>
      </c>
      <c r="S548" s="360" t="n">
        <f aca="false">S546*S547*S1</f>
        <v>34272.6</v>
      </c>
      <c r="T548" s="360" t="n">
        <f aca="false">T546*T547*T1</f>
        <v>42620.04</v>
      </c>
      <c r="U548" s="360" t="n">
        <f aca="false">U546*U547*U1</f>
        <v>12215.86</v>
      </c>
      <c r="V548" s="360" t="n">
        <f aca="false">V546*V547*V1</f>
        <v>24240</v>
      </c>
      <c r="W548" s="360" t="n">
        <f aca="false">W546*W547*W1</f>
        <v>10252.32</v>
      </c>
      <c r="X548" s="360" t="n">
        <f aca="false">X546*X547*X1</f>
        <v>17677.8</v>
      </c>
      <c r="Y548" s="360" t="n">
        <f aca="false">Y546*Y547*Y1</f>
        <v>41553.33</v>
      </c>
      <c r="Z548" s="417" t="n">
        <f aca="false">SUM(N548:Y548)</f>
        <v>361514.03</v>
      </c>
    </row>
    <row r="552" customFormat="false" ht="12.75" hidden="false" customHeight="true" outlineLevel="0" collapsed="false">
      <c r="A552" s="294" t="s">
        <v>231</v>
      </c>
      <c r="B552" s="294" t="s">
        <v>425</v>
      </c>
      <c r="C552" s="294" t="s">
        <v>369</v>
      </c>
      <c r="E552" s="466" t="n">
        <v>24690</v>
      </c>
      <c r="F552" s="466" t="s">
        <v>430</v>
      </c>
      <c r="H552" s="467" t="n">
        <v>36981</v>
      </c>
      <c r="I552" s="360" t="n">
        <v>15000</v>
      </c>
      <c r="N552" s="360" t="n">
        <f aca="false">N448*$K552</f>
        <v>0</v>
      </c>
      <c r="O552" s="360" t="n">
        <f aca="false">O448*$K552</f>
        <v>0</v>
      </c>
      <c r="P552" s="360" t="n">
        <f aca="false">P448*$K552</f>
        <v>0</v>
      </c>
    </row>
    <row r="553" customFormat="false" ht="12.75" hidden="false" customHeight="true" outlineLevel="0" collapsed="false">
      <c r="A553" s="294" t="s">
        <v>231</v>
      </c>
      <c r="B553" s="294" t="s">
        <v>425</v>
      </c>
      <c r="C553" s="294" t="s">
        <v>369</v>
      </c>
      <c r="E553" s="466" t="n">
        <v>24754</v>
      </c>
      <c r="F553" s="466" t="s">
        <v>431</v>
      </c>
      <c r="H553" s="481" t="n">
        <v>37011</v>
      </c>
      <c r="I553" s="468" t="n">
        <v>1000</v>
      </c>
      <c r="N553" s="360" t="n">
        <f aca="false">N449*$K553</f>
        <v>0</v>
      </c>
      <c r="O553" s="360" t="n">
        <f aca="false">O449*$K553</f>
        <v>0</v>
      </c>
      <c r="P553" s="360" t="n">
        <f aca="false">P449*$K553</f>
        <v>0</v>
      </c>
      <c r="Q553" s="360" t="n">
        <f aca="false">Q449*$K553</f>
        <v>0</v>
      </c>
    </row>
    <row r="554" customFormat="false" ht="12.75" hidden="false" customHeight="true" outlineLevel="0" collapsed="false">
      <c r="A554" s="294" t="s">
        <v>231</v>
      </c>
      <c r="B554" s="294" t="s">
        <v>425</v>
      </c>
      <c r="C554" s="294" t="s">
        <v>369</v>
      </c>
      <c r="E554" s="462" t="n">
        <v>24194</v>
      </c>
      <c r="F554" s="462" t="s">
        <v>426</v>
      </c>
      <c r="H554" s="463" t="n">
        <v>37164</v>
      </c>
      <c r="I554" s="464" t="n">
        <v>20000</v>
      </c>
      <c r="K554" s="357" t="n">
        <v>0.003</v>
      </c>
      <c r="N554" s="360" t="n">
        <f aca="false">N443*N1*$K554</f>
        <v>1860</v>
      </c>
      <c r="O554" s="360" t="n">
        <f aca="false">O443*O1*$K554</f>
        <v>1680</v>
      </c>
      <c r="P554" s="360" t="n">
        <f aca="false">P443*P1*$K554</f>
        <v>1860</v>
      </c>
      <c r="Q554" s="360" t="n">
        <f aca="false">Q443*Q1*$K554</f>
        <v>1800</v>
      </c>
      <c r="R554" s="360" t="n">
        <f aca="false">R443*R1*$K554</f>
        <v>930</v>
      </c>
      <c r="S554" s="360" t="n">
        <f aca="false">S443*S1*$K554</f>
        <v>900</v>
      </c>
      <c r="T554" s="360" t="n">
        <f aca="false">T443*T1*$K554</f>
        <v>930</v>
      </c>
      <c r="U554" s="360" t="n">
        <f aca="false">U443*U1*$K554</f>
        <v>930</v>
      </c>
      <c r="V554" s="360" t="n">
        <f aca="false">V443*V1*$K554</f>
        <v>900</v>
      </c>
      <c r="W554" s="360" t="n">
        <f aca="false">W443*W1*$K554</f>
        <v>1860</v>
      </c>
      <c r="X554" s="360" t="n">
        <f aca="false">X443*X1*$K554</f>
        <v>1800</v>
      </c>
      <c r="Y554" s="360" t="n">
        <f aca="false">Y443*Y1*$K554</f>
        <v>1860</v>
      </c>
    </row>
    <row r="555" customFormat="false" ht="12.75" hidden="false" customHeight="true" outlineLevel="0" collapsed="false">
      <c r="E555" s="466"/>
      <c r="F555" s="466"/>
      <c r="H555" s="482"/>
      <c r="N555" s="368"/>
      <c r="O555" s="368"/>
      <c r="P555" s="368"/>
      <c r="Q555" s="368"/>
      <c r="R555" s="368"/>
      <c r="S555" s="368"/>
      <c r="T555" s="368"/>
      <c r="U555" s="368"/>
      <c r="V555" s="368"/>
      <c r="W555" s="368"/>
      <c r="X555" s="368"/>
      <c r="Y555" s="368"/>
    </row>
    <row r="556" customFormat="false" ht="12.75" hidden="false" customHeight="true" outlineLevel="0" collapsed="false">
      <c r="N556" s="360" t="n">
        <f aca="false">SUM(N552:N555)</f>
        <v>1860</v>
      </c>
      <c r="O556" s="360" t="n">
        <f aca="false">SUM(O552:O555)</f>
        <v>1680</v>
      </c>
      <c r="P556" s="360" t="n">
        <f aca="false">SUM(P552:P555)</f>
        <v>1860</v>
      </c>
      <c r="Q556" s="360" t="n">
        <f aca="false">SUM(Q552:Q555)</f>
        <v>1800</v>
      </c>
      <c r="R556" s="360" t="n">
        <f aca="false">SUM(R552:R555)</f>
        <v>930</v>
      </c>
      <c r="S556" s="360" t="n">
        <f aca="false">SUM(S552:S555)</f>
        <v>900</v>
      </c>
      <c r="T556" s="360" t="n">
        <f aca="false">SUM(T552:T555)</f>
        <v>930</v>
      </c>
      <c r="U556" s="360" t="n">
        <f aca="false">SUM(U552:U555)</f>
        <v>930</v>
      </c>
      <c r="V556" s="360" t="n">
        <f aca="false">SUM(V552:V555)</f>
        <v>900</v>
      </c>
      <c r="W556" s="360" t="n">
        <f aca="false">SUM(W552:W555)</f>
        <v>1860</v>
      </c>
      <c r="X556" s="360" t="n">
        <f aca="false">SUM(X552:X555)</f>
        <v>1800</v>
      </c>
      <c r="Y556" s="360" t="n">
        <f aca="false">SUM(Y552:Y555)</f>
        <v>1860</v>
      </c>
      <c r="Z556" s="417" t="n">
        <f aca="false">SUM(N556:Y556)</f>
        <v>17310</v>
      </c>
      <c r="AA556" s="360" t="n">
        <v>38082</v>
      </c>
      <c r="AB556" s="417" t="n">
        <f aca="false">AA556-Z556</f>
        <v>20772</v>
      </c>
    </row>
    <row r="557" customFormat="false" ht="12.75" hidden="false" customHeight="true" outlineLevel="0" collapsed="false">
      <c r="A557" s="422"/>
      <c r="B557" s="422"/>
      <c r="C557" s="422"/>
      <c r="D557" s="422"/>
      <c r="E557" s="423"/>
      <c r="F557" s="422"/>
      <c r="G557" s="422"/>
      <c r="H557" s="423"/>
      <c r="I557" s="424"/>
      <c r="J557" s="422"/>
      <c r="K557" s="425"/>
      <c r="L557" s="422"/>
      <c r="M557" s="426"/>
      <c r="N557" s="424"/>
      <c r="O557" s="424"/>
      <c r="P557" s="424"/>
      <c r="Q557" s="424"/>
      <c r="R557" s="424"/>
      <c r="S557" s="424"/>
      <c r="T557" s="424"/>
      <c r="U557" s="424"/>
      <c r="V557" s="424"/>
      <c r="W557" s="424"/>
      <c r="X557" s="424"/>
      <c r="Y557" s="424"/>
      <c r="Z557" s="422"/>
      <c r="AA557" s="422"/>
      <c r="AB557" s="422"/>
      <c r="AC557" s="422"/>
      <c r="AD557" s="422"/>
      <c r="AE557" s="422"/>
      <c r="AF557" s="422"/>
      <c r="AG557" s="422"/>
      <c r="AH557" s="422"/>
      <c r="AI557" s="422"/>
      <c r="AJ557" s="422"/>
      <c r="AK557" s="422"/>
      <c r="AL557" s="422"/>
      <c r="AM557" s="422"/>
      <c r="AN557" s="422"/>
      <c r="AO557" s="422"/>
      <c r="AP557" s="422"/>
      <c r="AQ557" s="422"/>
      <c r="AR557" s="422"/>
      <c r="AS557" s="422"/>
      <c r="AT557" s="422"/>
      <c r="AU557" s="422"/>
      <c r="AV557" s="422"/>
      <c r="AW557" s="422"/>
      <c r="AX557" s="422"/>
      <c r="AY557" s="422"/>
      <c r="AZ557" s="422"/>
      <c r="BA557" s="422"/>
      <c r="BB557" s="422"/>
      <c r="BC557" s="422"/>
      <c r="BD557" s="422"/>
      <c r="BE557" s="422"/>
      <c r="BF557" s="422"/>
      <c r="BG557" s="422"/>
      <c r="BH557" s="422"/>
      <c r="BI557" s="422"/>
      <c r="BJ557" s="422"/>
      <c r="BK557" s="422"/>
      <c r="BL557" s="422"/>
      <c r="BM557" s="422"/>
      <c r="BN557" s="422"/>
      <c r="BO557" s="422"/>
      <c r="BP557" s="422"/>
      <c r="BQ557" s="422"/>
      <c r="BR557" s="422"/>
      <c r="BS557" s="422"/>
      <c r="BT557" s="422"/>
      <c r="BU557" s="422"/>
      <c r="BV557" s="422"/>
      <c r="BW557" s="422"/>
      <c r="BX557" s="422"/>
      <c r="BY557" s="422"/>
      <c r="BZ557" s="422"/>
      <c r="CA557" s="422"/>
      <c r="CB557" s="422"/>
      <c r="CC557" s="422"/>
      <c r="CD557" s="422"/>
      <c r="CE557" s="422"/>
      <c r="CF557" s="422"/>
      <c r="CG557" s="422"/>
      <c r="CH557" s="422"/>
      <c r="CI557" s="422"/>
      <c r="CJ557" s="422"/>
      <c r="CK557" s="422"/>
      <c r="CL557" s="422"/>
      <c r="CM557" s="422"/>
      <c r="CN557" s="422"/>
      <c r="CO557" s="422"/>
      <c r="CP557" s="422"/>
      <c r="CQ557" s="422"/>
      <c r="CR557" s="422"/>
      <c r="CS557" s="422"/>
      <c r="CT557" s="422"/>
      <c r="CU557" s="422"/>
      <c r="CV557" s="422"/>
      <c r="CW557" s="422"/>
      <c r="CX557" s="422"/>
      <c r="CY557" s="422"/>
      <c r="CZ557" s="422"/>
      <c r="DA557" s="422"/>
      <c r="DB557" s="422"/>
      <c r="DC557" s="422"/>
      <c r="DD557" s="422"/>
      <c r="DE557" s="422"/>
      <c r="DF557" s="422"/>
      <c r="DG557" s="422"/>
      <c r="DH557" s="422"/>
      <c r="DI557" s="422"/>
      <c r="DJ557" s="422"/>
      <c r="DK557" s="422"/>
      <c r="DL557" s="422"/>
      <c r="DM557" s="422"/>
      <c r="DN557" s="422"/>
      <c r="DO557" s="422"/>
      <c r="DP557" s="422"/>
      <c r="DQ557" s="422"/>
      <c r="DR557" s="422"/>
      <c r="DS557" s="422"/>
      <c r="DT557" s="422"/>
      <c r="DU557" s="422"/>
      <c r="DV557" s="422"/>
      <c r="DW557" s="422"/>
      <c r="DX557" s="422"/>
      <c r="DY557" s="422"/>
      <c r="DZ557" s="422"/>
      <c r="EA557" s="422"/>
      <c r="EB557" s="422"/>
      <c r="EC557" s="422"/>
      <c r="ED557" s="422"/>
      <c r="EE557" s="422"/>
      <c r="EF557" s="422"/>
      <c r="EG557" s="422"/>
      <c r="EH557" s="422"/>
      <c r="EI557" s="422"/>
      <c r="EJ557" s="422"/>
      <c r="EK557" s="422"/>
      <c r="EL557" s="422"/>
      <c r="EM557" s="422"/>
      <c r="EN557" s="422"/>
      <c r="EO557" s="422"/>
      <c r="EP557" s="422"/>
      <c r="EQ557" s="422"/>
      <c r="ER557" s="422"/>
      <c r="ES557" s="422"/>
      <c r="ET557" s="422"/>
      <c r="EU557" s="422"/>
      <c r="EV557" s="422"/>
      <c r="EW557" s="422"/>
      <c r="EX557" s="422"/>
      <c r="EY557" s="422"/>
      <c r="EZ557" s="422"/>
      <c r="FA557" s="422"/>
      <c r="FB557" s="422"/>
      <c r="FC557" s="422"/>
      <c r="FD557" s="422"/>
      <c r="FE557" s="422"/>
      <c r="FF557" s="422"/>
      <c r="FG557" s="422"/>
      <c r="FH557" s="422"/>
      <c r="FI557" s="422"/>
      <c r="FJ557" s="422"/>
      <c r="FK557" s="422"/>
      <c r="FL557" s="422"/>
      <c r="FM557" s="422"/>
      <c r="FN557" s="422"/>
      <c r="FO557" s="422"/>
      <c r="FP557" s="422"/>
      <c r="FQ557" s="422"/>
      <c r="FR557" s="422"/>
      <c r="FS557" s="422"/>
      <c r="FT557" s="422"/>
      <c r="FU557" s="422"/>
      <c r="FV557" s="422"/>
      <c r="FW557" s="422"/>
      <c r="FX557" s="422"/>
      <c r="FY557" s="422"/>
      <c r="FZ557" s="422"/>
      <c r="GA557" s="422"/>
      <c r="GB557" s="422"/>
      <c r="GC557" s="422"/>
      <c r="GD557" s="422"/>
      <c r="GE557" s="422"/>
      <c r="GF557" s="422"/>
      <c r="GG557" s="422"/>
      <c r="GH557" s="422"/>
      <c r="GI557" s="422"/>
      <c r="GJ557" s="422"/>
      <c r="GK557" s="422"/>
      <c r="GL557" s="422"/>
      <c r="GM557" s="422"/>
      <c r="GN557" s="422"/>
      <c r="GO557" s="422"/>
      <c r="GP557" s="422"/>
      <c r="GQ557" s="422"/>
      <c r="GR557" s="422"/>
      <c r="GS557" s="422"/>
      <c r="GT557" s="422"/>
      <c r="GU557" s="422"/>
      <c r="GV557" s="422"/>
      <c r="GW557" s="422"/>
      <c r="GX557" s="422"/>
      <c r="GY557" s="422"/>
      <c r="GZ557" s="422"/>
      <c r="HA557" s="422"/>
      <c r="HB557" s="422"/>
      <c r="HC557" s="422"/>
      <c r="HD557" s="422"/>
      <c r="HE557" s="422"/>
      <c r="HF557" s="422"/>
      <c r="HG557" s="422"/>
      <c r="HH557" s="422"/>
      <c r="HI557" s="422"/>
      <c r="HJ557" s="422"/>
      <c r="HK557" s="422"/>
      <c r="HL557" s="422"/>
      <c r="HM557" s="422"/>
      <c r="HN557" s="422"/>
      <c r="HO557" s="422"/>
      <c r="HP557" s="422"/>
      <c r="HQ557" s="422"/>
      <c r="HR557" s="422"/>
      <c r="HS557" s="422"/>
      <c r="HT557" s="422"/>
      <c r="HU557" s="422"/>
      <c r="HV557" s="422"/>
      <c r="HW557" s="422"/>
      <c r="HX557" s="422"/>
      <c r="HY557" s="422"/>
      <c r="HZ557" s="422"/>
      <c r="IA557" s="422"/>
      <c r="IB557" s="422"/>
      <c r="IC557" s="422"/>
      <c r="ID557" s="422"/>
      <c r="IE557" s="422"/>
      <c r="IF557" s="422"/>
      <c r="IG557" s="422"/>
      <c r="IH557" s="422"/>
      <c r="II557" s="422"/>
      <c r="IJ557" s="422"/>
      <c r="IK557" s="422"/>
      <c r="IL557" s="422"/>
      <c r="IM557" s="422"/>
      <c r="IN557" s="422"/>
      <c r="IO557" s="422"/>
      <c r="IP557" s="422"/>
      <c r="IQ557" s="422"/>
      <c r="IR557" s="422"/>
      <c r="IS557" s="422"/>
      <c r="IT557" s="422"/>
      <c r="IU557" s="422"/>
      <c r="IV557" s="422"/>
      <c r="IW557" s="422"/>
    </row>
    <row r="560" customFormat="false" ht="12.75" hidden="false" customHeight="true" outlineLevel="0" collapsed="false">
      <c r="A560" s="294" t="s">
        <v>231</v>
      </c>
      <c r="B560" s="294" t="s">
        <v>442</v>
      </c>
      <c r="C560" s="294" t="s">
        <v>5</v>
      </c>
      <c r="D560" s="294" t="s">
        <v>332</v>
      </c>
      <c r="E560" s="483" t="n">
        <v>24654</v>
      </c>
      <c r="F560" s="466" t="s">
        <v>409</v>
      </c>
      <c r="G560" s="484" t="s">
        <v>443</v>
      </c>
      <c r="H560" s="484" t="n">
        <v>37256</v>
      </c>
      <c r="I560" s="485" t="n">
        <v>8000</v>
      </c>
      <c r="K560" s="449"/>
      <c r="L560" s="449"/>
      <c r="M560" s="486" t="s">
        <v>444</v>
      </c>
      <c r="N560" s="360" t="n">
        <f aca="false">$I$560*N$1</f>
        <v>248000</v>
      </c>
      <c r="O560" s="360" t="n">
        <f aca="false">$I$560*O$1</f>
        <v>224000</v>
      </c>
      <c r="P560" s="360" t="n">
        <f aca="false">$I$560*P$1</f>
        <v>248000</v>
      </c>
      <c r="Q560" s="360" t="n">
        <f aca="false">$I$560*Q$1</f>
        <v>240000</v>
      </c>
      <c r="R560" s="360" t="n">
        <f aca="false">$I$560*R$1</f>
        <v>248000</v>
      </c>
      <c r="S560" s="360" t="n">
        <f aca="false">$I$560*S$1</f>
        <v>240000</v>
      </c>
      <c r="T560" s="360" t="n">
        <f aca="false">$I$560*T$1</f>
        <v>248000</v>
      </c>
      <c r="U560" s="360" t="n">
        <f aca="false">$I$560*U$1</f>
        <v>248000</v>
      </c>
      <c r="V560" s="360" t="n">
        <f aca="false">$I$560*V$1</f>
        <v>240000</v>
      </c>
      <c r="W560" s="360" t="n">
        <f aca="false">$I$560*W$1</f>
        <v>248000</v>
      </c>
      <c r="X560" s="360" t="n">
        <f aca="false">$I$560*X$1</f>
        <v>240000</v>
      </c>
      <c r="Y560" s="360" t="n">
        <f aca="false">$I$560*Y$1</f>
        <v>248000</v>
      </c>
    </row>
    <row r="561" customFormat="false" ht="12.75" hidden="false" customHeight="true" outlineLevel="0" collapsed="false">
      <c r="A561" s="294" t="s">
        <v>231</v>
      </c>
      <c r="B561" s="294" t="s">
        <v>442</v>
      </c>
      <c r="C561" s="294" t="s">
        <v>5</v>
      </c>
      <c r="D561" s="294" t="s">
        <v>332</v>
      </c>
      <c r="E561" s="487" t="n">
        <v>24568</v>
      </c>
      <c r="F561" s="462" t="s">
        <v>445</v>
      </c>
      <c r="G561" s="488" t="s">
        <v>443</v>
      </c>
      <c r="H561" s="488" t="n">
        <v>37256</v>
      </c>
      <c r="I561" s="489" t="n">
        <v>32000</v>
      </c>
      <c r="K561" s="449"/>
      <c r="L561" s="449"/>
      <c r="M561" s="486" t="s">
        <v>444</v>
      </c>
      <c r="N561" s="360" t="n">
        <f aca="false">$I$561*N$1</f>
        <v>992000</v>
      </c>
      <c r="O561" s="360" t="n">
        <f aca="false">$I$561*O$1</f>
        <v>896000</v>
      </c>
      <c r="P561" s="360" t="n">
        <f aca="false">$I$561*P$1</f>
        <v>992000</v>
      </c>
      <c r="Q561" s="360" t="n">
        <f aca="false">$I$561*Q$1</f>
        <v>960000</v>
      </c>
      <c r="R561" s="360" t="n">
        <f aca="false">$I$561*R$1</f>
        <v>992000</v>
      </c>
      <c r="S561" s="360" t="n">
        <f aca="false">$I$561*S$1</f>
        <v>960000</v>
      </c>
      <c r="T561" s="360" t="n">
        <f aca="false">$I$561*T$1</f>
        <v>992000</v>
      </c>
      <c r="U561" s="360" t="n">
        <f aca="false">$I$561*U$1</f>
        <v>992000</v>
      </c>
      <c r="V561" s="360" t="n">
        <f aca="false">$I$561*V$1</f>
        <v>960000</v>
      </c>
      <c r="W561" s="360" t="n">
        <f aca="false">$I$561*W$1</f>
        <v>992000</v>
      </c>
      <c r="X561" s="360" t="n">
        <f aca="false">$I$561*X$1</f>
        <v>960000</v>
      </c>
      <c r="Y561" s="360" t="n">
        <f aca="false">$I$561*Y$1</f>
        <v>992000</v>
      </c>
    </row>
    <row r="563" customFormat="false" ht="12.75" hidden="false" customHeight="true" outlineLevel="0" collapsed="false">
      <c r="I563" s="368"/>
      <c r="N563" s="368"/>
      <c r="O563" s="368"/>
      <c r="P563" s="368"/>
      <c r="Q563" s="368"/>
      <c r="R563" s="368"/>
      <c r="S563" s="368"/>
      <c r="T563" s="368"/>
      <c r="U563" s="368"/>
      <c r="V563" s="368"/>
      <c r="W563" s="368"/>
      <c r="X563" s="368"/>
      <c r="Y563" s="368"/>
    </row>
    <row r="564" customFormat="false" ht="12.75" hidden="false" customHeight="true" outlineLevel="0" collapsed="false">
      <c r="I564" s="360" t="n">
        <f aca="false">SUM(I560:I563)</f>
        <v>40000</v>
      </c>
      <c r="N564" s="360" t="n">
        <f aca="false">SUM(N560:N563)</f>
        <v>1240000</v>
      </c>
      <c r="O564" s="360" t="n">
        <f aca="false">SUM(O560:O563)</f>
        <v>1120000</v>
      </c>
      <c r="P564" s="360" t="n">
        <f aca="false">SUM(P560:P563)</f>
        <v>1240000</v>
      </c>
      <c r="Q564" s="360" t="n">
        <f aca="false">SUM(Q560:Q563)</f>
        <v>1200000</v>
      </c>
      <c r="R564" s="360" t="n">
        <f aca="false">SUM(R560:R563)</f>
        <v>1240000</v>
      </c>
      <c r="S564" s="360" t="n">
        <f aca="false">SUM(S560:S563)</f>
        <v>1200000</v>
      </c>
      <c r="T564" s="360" t="n">
        <f aca="false">SUM(T560:T563)</f>
        <v>1240000</v>
      </c>
      <c r="U564" s="360" t="n">
        <f aca="false">SUM(U560:U563)</f>
        <v>1240000</v>
      </c>
      <c r="V564" s="360" t="n">
        <f aca="false">SUM(V560:V563)</f>
        <v>1200000</v>
      </c>
      <c r="W564" s="360" t="n">
        <f aca="false">SUM(W560:W563)</f>
        <v>1240000</v>
      </c>
      <c r="X564" s="360" t="n">
        <f aca="false">SUM(X560:X563)</f>
        <v>1200000</v>
      </c>
      <c r="Y564" s="360" t="n">
        <f aca="false">SUM(Y560:Y563)</f>
        <v>1240000</v>
      </c>
    </row>
    <row r="566" customFormat="false" ht="12.75" hidden="false" customHeight="true" outlineLevel="0" collapsed="false">
      <c r="A566" s="397" t="s">
        <v>446</v>
      </c>
      <c r="B566" s="398"/>
      <c r="C566" s="398"/>
      <c r="D566" s="398"/>
      <c r="E566" s="399"/>
      <c r="F566" s="398"/>
      <c r="G566" s="398"/>
      <c r="H566" s="399"/>
      <c r="I566" s="400"/>
      <c r="J566" s="398"/>
      <c r="K566" s="401"/>
      <c r="L566" s="398"/>
      <c r="M566" s="402"/>
      <c r="N566" s="403" t="n">
        <v>0.45</v>
      </c>
      <c r="O566" s="403" t="n">
        <v>0.68</v>
      </c>
      <c r="P566" s="403" t="n">
        <v>0.61</v>
      </c>
      <c r="Q566" s="403" t="n">
        <v>0.56</v>
      </c>
      <c r="R566" s="403" t="n">
        <v>0.55</v>
      </c>
      <c r="S566" s="403" t="n">
        <v>0.68</v>
      </c>
      <c r="T566" s="403" t="n">
        <v>0.79</v>
      </c>
      <c r="U566" s="403" t="n">
        <v>0.665</v>
      </c>
      <c r="V566" s="403" t="n">
        <v>0.805</v>
      </c>
      <c r="W566" s="403" t="n">
        <v>0.43</v>
      </c>
      <c r="X566" s="403" t="n">
        <v>0.64</v>
      </c>
      <c r="Y566" s="405" t="n">
        <v>0.64</v>
      </c>
    </row>
    <row r="567" customFormat="false" ht="12.75" hidden="false" customHeight="true" outlineLevel="0" collapsed="false">
      <c r="A567" s="294" t="s">
        <v>231</v>
      </c>
      <c r="B567" s="294" t="s">
        <v>442</v>
      </c>
      <c r="C567" s="294" t="s">
        <v>5</v>
      </c>
      <c r="D567" s="294" t="s">
        <v>329</v>
      </c>
      <c r="E567" s="483" t="n">
        <v>24654</v>
      </c>
      <c r="F567" s="466" t="s">
        <v>409</v>
      </c>
      <c r="G567" s="484" t="s">
        <v>443</v>
      </c>
      <c r="H567" s="484" t="n">
        <v>37256</v>
      </c>
      <c r="I567" s="485" t="n">
        <v>8000</v>
      </c>
      <c r="K567" s="449"/>
      <c r="L567" s="449"/>
      <c r="M567" s="486" t="s">
        <v>444</v>
      </c>
      <c r="N567" s="360" t="n">
        <f aca="false">N560*N$566</f>
        <v>111600</v>
      </c>
      <c r="O567" s="360" t="n">
        <f aca="false">O560*O$566</f>
        <v>152320</v>
      </c>
      <c r="P567" s="360" t="n">
        <f aca="false">P560*P$566</f>
        <v>151280</v>
      </c>
      <c r="Q567" s="360" t="n">
        <f aca="false">Q560*Q$566</f>
        <v>134400</v>
      </c>
      <c r="R567" s="360" t="n">
        <f aca="false">R560*R$566</f>
        <v>136400</v>
      </c>
      <c r="S567" s="360" t="n">
        <f aca="false">S560*S$566</f>
        <v>163200</v>
      </c>
      <c r="T567" s="360" t="n">
        <f aca="false">T560*T$566</f>
        <v>195920</v>
      </c>
      <c r="U567" s="360" t="n">
        <f aca="false">U560*U$566</f>
        <v>164920</v>
      </c>
      <c r="V567" s="360" t="n">
        <f aca="false">V560*V$566</f>
        <v>193200</v>
      </c>
      <c r="W567" s="360" t="n">
        <f aca="false">W560*W$566</f>
        <v>106640</v>
      </c>
      <c r="X567" s="360" t="n">
        <f aca="false">X560*X$566</f>
        <v>153600</v>
      </c>
      <c r="Y567" s="360" t="n">
        <f aca="false">Y560*Y$566</f>
        <v>158720</v>
      </c>
    </row>
    <row r="568" customFormat="false" ht="12.75" hidden="false" customHeight="true" outlineLevel="0" collapsed="false">
      <c r="A568" s="294" t="s">
        <v>231</v>
      </c>
      <c r="B568" s="294" t="s">
        <v>442</v>
      </c>
      <c r="C568" s="294" t="s">
        <v>5</v>
      </c>
      <c r="D568" s="294" t="s">
        <v>329</v>
      </c>
      <c r="E568" s="487" t="n">
        <v>24568</v>
      </c>
      <c r="F568" s="462" t="s">
        <v>445</v>
      </c>
      <c r="G568" s="488" t="s">
        <v>443</v>
      </c>
      <c r="H568" s="488" t="n">
        <v>37256</v>
      </c>
      <c r="I568" s="489" t="n">
        <v>32000</v>
      </c>
      <c r="K568" s="449"/>
      <c r="L568" s="449"/>
      <c r="M568" s="486" t="s">
        <v>444</v>
      </c>
      <c r="N568" s="360" t="n">
        <f aca="false">N561*N$566</f>
        <v>446400</v>
      </c>
      <c r="O568" s="360" t="n">
        <f aca="false">O561*O$566</f>
        <v>609280</v>
      </c>
      <c r="P568" s="360" t="n">
        <f aca="false">P561*P$566</f>
        <v>605120</v>
      </c>
      <c r="Q568" s="360" t="n">
        <f aca="false">Q561*Q$566</f>
        <v>537600</v>
      </c>
      <c r="R568" s="360" t="n">
        <f aca="false">R561*R$566</f>
        <v>545600</v>
      </c>
      <c r="S568" s="360" t="n">
        <f aca="false">S561*S$566</f>
        <v>652800</v>
      </c>
      <c r="T568" s="360" t="n">
        <f aca="false">T561*T$566</f>
        <v>783680</v>
      </c>
      <c r="U568" s="360" t="n">
        <f aca="false">U561*U$566</f>
        <v>659680</v>
      </c>
      <c r="V568" s="360" t="n">
        <f aca="false">V561*V$566</f>
        <v>772800</v>
      </c>
      <c r="W568" s="360" t="n">
        <f aca="false">W561*W$566</f>
        <v>426560</v>
      </c>
      <c r="X568" s="360" t="n">
        <f aca="false">X561*X$566</f>
        <v>614400</v>
      </c>
      <c r="Y568" s="360" t="n">
        <f aca="false">Y561*Y$566</f>
        <v>634880</v>
      </c>
    </row>
    <row r="570" customFormat="false" ht="12.75" hidden="false" customHeight="true" outlineLevel="0" collapsed="false">
      <c r="N570" s="368"/>
      <c r="O570" s="368"/>
      <c r="P570" s="368"/>
      <c r="Q570" s="368"/>
      <c r="R570" s="368"/>
      <c r="S570" s="368"/>
      <c r="T570" s="368"/>
      <c r="U570" s="368"/>
      <c r="V570" s="368"/>
      <c r="W570" s="368"/>
      <c r="X570" s="368"/>
      <c r="Y570" s="368"/>
    </row>
    <row r="571" customFormat="false" ht="12.75" hidden="false" customHeight="true" outlineLevel="0" collapsed="false">
      <c r="N571" s="360" t="n">
        <f aca="false">SUM(N567:N570)</f>
        <v>558000</v>
      </c>
      <c r="O571" s="360" t="n">
        <f aca="false">SUM(O567:O570)</f>
        <v>761600</v>
      </c>
      <c r="P571" s="360" t="n">
        <f aca="false">SUM(P567:P570)</f>
        <v>756400</v>
      </c>
      <c r="Q571" s="360" t="n">
        <f aca="false">SUM(Q567:Q570)</f>
        <v>672000</v>
      </c>
      <c r="R571" s="360" t="n">
        <f aca="false">SUM(R567:R570)</f>
        <v>682000</v>
      </c>
      <c r="S571" s="360" t="n">
        <f aca="false">SUM(S567:S570)</f>
        <v>816000</v>
      </c>
      <c r="T571" s="360" t="n">
        <f aca="false">SUM(T567:T570)</f>
        <v>979600</v>
      </c>
      <c r="U571" s="360" t="n">
        <f aca="false">SUM(U567:U570)</f>
        <v>824600</v>
      </c>
      <c r="V571" s="360" t="n">
        <f aca="false">SUM(V567:V570)</f>
        <v>966000</v>
      </c>
      <c r="W571" s="360" t="n">
        <f aca="false">SUM(W567:W570)</f>
        <v>533200</v>
      </c>
      <c r="X571" s="360" t="n">
        <f aca="false">SUM(X567:X570)</f>
        <v>768000</v>
      </c>
      <c r="Y571" s="360" t="n">
        <f aca="false">SUM(Y567:Y570)</f>
        <v>793600</v>
      </c>
    </row>
    <row r="574" customFormat="false" ht="12.75" hidden="false" customHeight="true" outlineLevel="0" collapsed="false">
      <c r="A574" s="294" t="s">
        <v>231</v>
      </c>
      <c r="B574" s="294" t="s">
        <v>442</v>
      </c>
      <c r="C574" s="294" t="s">
        <v>6</v>
      </c>
      <c r="D574" s="294" t="s">
        <v>332</v>
      </c>
      <c r="E574" s="483" t="n">
        <v>24654</v>
      </c>
      <c r="F574" s="466" t="s">
        <v>409</v>
      </c>
      <c r="G574" s="484" t="s">
        <v>443</v>
      </c>
      <c r="H574" s="484" t="n">
        <v>37256</v>
      </c>
      <c r="I574" s="485"/>
      <c r="K574" s="449" t="n">
        <v>0.204</v>
      </c>
      <c r="L574" s="449" t="n">
        <v>0.016</v>
      </c>
      <c r="M574" s="486" t="s">
        <v>444</v>
      </c>
      <c r="N574" s="360" t="n">
        <f aca="false">N560*($K574)</f>
        <v>50592</v>
      </c>
      <c r="O574" s="360" t="n">
        <f aca="false">O560*($K574)</f>
        <v>45696</v>
      </c>
      <c r="P574" s="360" t="n">
        <f aca="false">P560*($K574)</f>
        <v>50592</v>
      </c>
      <c r="Q574" s="360" t="n">
        <f aca="false">Q560*($K574)</f>
        <v>48960</v>
      </c>
      <c r="R574" s="360" t="n">
        <f aca="false">R560*($K574)</f>
        <v>50592</v>
      </c>
      <c r="S574" s="360" t="n">
        <f aca="false">S560*($K574)</f>
        <v>48960</v>
      </c>
      <c r="T574" s="360" t="n">
        <f aca="false">T560*($K574)</f>
        <v>50592</v>
      </c>
      <c r="U574" s="360" t="n">
        <f aca="false">U560*($K574)</f>
        <v>50592</v>
      </c>
      <c r="V574" s="360" t="n">
        <f aca="false">V560*($K574)</f>
        <v>48960</v>
      </c>
      <c r="W574" s="360" t="n">
        <f aca="false">W560*($K574)</f>
        <v>50592</v>
      </c>
      <c r="X574" s="360" t="n">
        <f aca="false">X560*($K574)</f>
        <v>48960</v>
      </c>
      <c r="Y574" s="360" t="n">
        <f aca="false">Y560*($K574)</f>
        <v>50592</v>
      </c>
    </row>
    <row r="575" customFormat="false" ht="12.75" hidden="false" customHeight="true" outlineLevel="0" collapsed="false">
      <c r="A575" s="294" t="s">
        <v>231</v>
      </c>
      <c r="B575" s="294" t="s">
        <v>442</v>
      </c>
      <c r="C575" s="294" t="s">
        <v>6</v>
      </c>
      <c r="D575" s="294" t="s">
        <v>332</v>
      </c>
      <c r="E575" s="487" t="n">
        <v>24568</v>
      </c>
      <c r="F575" s="462" t="s">
        <v>445</v>
      </c>
      <c r="G575" s="488" t="s">
        <v>443</v>
      </c>
      <c r="H575" s="488" t="n">
        <v>37256</v>
      </c>
      <c r="I575" s="489"/>
      <c r="K575" s="449" t="n">
        <v>0.204</v>
      </c>
      <c r="L575" s="449" t="n">
        <v>0.0135</v>
      </c>
      <c r="M575" s="486" t="s">
        <v>444</v>
      </c>
      <c r="N575" s="360" t="n">
        <f aca="false">N561*($K575)</f>
        <v>202368</v>
      </c>
      <c r="O575" s="360" t="n">
        <f aca="false">O561*($K575)</f>
        <v>182784</v>
      </c>
      <c r="P575" s="360" t="n">
        <f aca="false">P561*($K575)</f>
        <v>202368</v>
      </c>
      <c r="Q575" s="360" t="n">
        <f aca="false">Q561*($K575)</f>
        <v>195840</v>
      </c>
      <c r="R575" s="360" t="n">
        <f aca="false">R561*($K575)</f>
        <v>202368</v>
      </c>
      <c r="S575" s="360" t="n">
        <f aca="false">S561*($K575)</f>
        <v>195840</v>
      </c>
      <c r="T575" s="360" t="n">
        <f aca="false">T561*($K575)</f>
        <v>202368</v>
      </c>
      <c r="U575" s="360" t="n">
        <f aca="false">U561*($K575)</f>
        <v>202368</v>
      </c>
      <c r="V575" s="360" t="n">
        <f aca="false">V561*($K575)</f>
        <v>195840</v>
      </c>
      <c r="W575" s="360" t="n">
        <f aca="false">W561*($K575)</f>
        <v>202368</v>
      </c>
      <c r="X575" s="360" t="n">
        <f aca="false">X561*($K575)</f>
        <v>195840</v>
      </c>
      <c r="Y575" s="360" t="n">
        <f aca="false">Y561*($K575)</f>
        <v>202368</v>
      </c>
    </row>
    <row r="577" customFormat="false" ht="12.75" hidden="false" customHeight="true" outlineLevel="0" collapsed="false">
      <c r="N577" s="368"/>
      <c r="O577" s="368"/>
      <c r="P577" s="368"/>
      <c r="Q577" s="368"/>
      <c r="R577" s="368"/>
      <c r="S577" s="368"/>
      <c r="T577" s="368"/>
      <c r="U577" s="368"/>
      <c r="V577" s="368"/>
      <c r="W577" s="368"/>
      <c r="X577" s="368"/>
      <c r="Y577" s="368"/>
    </row>
    <row r="578" customFormat="false" ht="12.75" hidden="false" customHeight="true" outlineLevel="0" collapsed="false">
      <c r="N578" s="360" t="n">
        <f aca="false">SUM(N574:N577)</f>
        <v>252960</v>
      </c>
      <c r="O578" s="360" t="n">
        <f aca="false">SUM(O574:O577)</f>
        <v>228480</v>
      </c>
      <c r="P578" s="360" t="n">
        <f aca="false">SUM(P574:P577)</f>
        <v>252960</v>
      </c>
      <c r="Q578" s="360" t="n">
        <f aca="false">SUM(Q574:Q577)</f>
        <v>244800</v>
      </c>
      <c r="R578" s="360" t="n">
        <f aca="false">SUM(R574:R577)</f>
        <v>252960</v>
      </c>
      <c r="S578" s="360" t="n">
        <f aca="false">SUM(S574:S577)</f>
        <v>244800</v>
      </c>
      <c r="T578" s="360" t="n">
        <f aca="false">SUM(T574:T577)</f>
        <v>252960</v>
      </c>
      <c r="U578" s="360" t="n">
        <f aca="false">SUM(U574:U577)</f>
        <v>252960</v>
      </c>
      <c r="V578" s="360" t="n">
        <f aca="false">SUM(V574:V577)</f>
        <v>244800</v>
      </c>
      <c r="W578" s="360" t="n">
        <f aca="false">SUM(W574:W577)</f>
        <v>252960</v>
      </c>
      <c r="X578" s="360" t="n">
        <f aca="false">SUM(X574:X577)</f>
        <v>244800</v>
      </c>
      <c r="Y578" s="360" t="n">
        <f aca="false">SUM(Y574:Y577)</f>
        <v>252960</v>
      </c>
      <c r="Z578" s="417" t="n">
        <f aca="false">SUM(N578:Y578)</f>
        <v>2978400</v>
      </c>
    </row>
    <row r="581" customFormat="false" ht="12.75" hidden="false" customHeight="true" outlineLevel="0" collapsed="false">
      <c r="A581" s="294" t="s">
        <v>231</v>
      </c>
      <c r="B581" s="294" t="s">
        <v>442</v>
      </c>
      <c r="C581" s="294" t="s">
        <v>6</v>
      </c>
      <c r="D581" s="294" t="s">
        <v>329</v>
      </c>
      <c r="E581" s="483" t="n">
        <v>24654</v>
      </c>
      <c r="F581" s="466" t="s">
        <v>409</v>
      </c>
      <c r="G581" s="484" t="s">
        <v>443</v>
      </c>
      <c r="H581" s="484" t="n">
        <v>37256</v>
      </c>
      <c r="I581" s="485"/>
      <c r="K581" s="449" t="n">
        <v>0.204</v>
      </c>
      <c r="L581" s="449" t="n">
        <v>0.0168</v>
      </c>
      <c r="M581" s="486" t="s">
        <v>444</v>
      </c>
      <c r="N581" s="360" t="n">
        <f aca="false">N567*$L581</f>
        <v>1874.88</v>
      </c>
      <c r="O581" s="360" t="n">
        <f aca="false">O567*$L581</f>
        <v>2558.976</v>
      </c>
      <c r="P581" s="360" t="n">
        <f aca="false">P567*$L581</f>
        <v>2541.504</v>
      </c>
      <c r="Q581" s="360" t="n">
        <f aca="false">Q567*$L581</f>
        <v>2257.92</v>
      </c>
      <c r="R581" s="360" t="n">
        <f aca="false">R567*$L581</f>
        <v>2291.52</v>
      </c>
      <c r="S581" s="360" t="n">
        <f aca="false">S567*$L581</f>
        <v>2741.76</v>
      </c>
      <c r="T581" s="360" t="n">
        <f aca="false">T567*$L581</f>
        <v>3291.456</v>
      </c>
      <c r="U581" s="360" t="n">
        <f aca="false">U567*$L581</f>
        <v>2770.656</v>
      </c>
      <c r="V581" s="360" t="n">
        <f aca="false">V567*$L581</f>
        <v>3245.76</v>
      </c>
      <c r="W581" s="360" t="n">
        <f aca="false">W567*$L581</f>
        <v>1791.552</v>
      </c>
      <c r="X581" s="360" t="n">
        <f aca="false">X567*$L581</f>
        <v>2580.48</v>
      </c>
      <c r="Y581" s="360" t="n">
        <f aca="false">Y567*$L581</f>
        <v>2666.496</v>
      </c>
      <c r="AF581" s="417" t="n">
        <f aca="false">SUM(N581:Y581)</f>
        <v>30612.96</v>
      </c>
    </row>
    <row r="582" customFormat="false" ht="12.75" hidden="false" customHeight="true" outlineLevel="0" collapsed="false">
      <c r="A582" s="294" t="s">
        <v>231</v>
      </c>
      <c r="B582" s="294" t="s">
        <v>442</v>
      </c>
      <c r="C582" s="294" t="s">
        <v>6</v>
      </c>
      <c r="D582" s="294" t="s">
        <v>329</v>
      </c>
      <c r="E582" s="487" t="n">
        <v>24568</v>
      </c>
      <c r="F582" s="462" t="s">
        <v>445</v>
      </c>
      <c r="G582" s="488" t="s">
        <v>443</v>
      </c>
      <c r="H582" s="488" t="n">
        <v>37256</v>
      </c>
      <c r="I582" s="489"/>
      <c r="K582" s="449" t="n">
        <v>0.204</v>
      </c>
      <c r="L582" s="449" t="n">
        <v>0.0135</v>
      </c>
      <c r="M582" s="486" t="s">
        <v>444</v>
      </c>
      <c r="N582" s="360" t="n">
        <f aca="false">N568*$L582</f>
        <v>6026.4</v>
      </c>
      <c r="O582" s="360" t="n">
        <f aca="false">O568*$L582</f>
        <v>8225.28</v>
      </c>
      <c r="P582" s="360" t="n">
        <f aca="false">P568*$L582</f>
        <v>8169.12</v>
      </c>
      <c r="Q582" s="360" t="n">
        <f aca="false">Q568*$L582</f>
        <v>7257.6</v>
      </c>
      <c r="R582" s="360" t="n">
        <f aca="false">R568*$L582</f>
        <v>7365.6</v>
      </c>
      <c r="S582" s="360" t="n">
        <f aca="false">S568*$L582</f>
        <v>8812.8</v>
      </c>
      <c r="T582" s="360" t="n">
        <f aca="false">T568*$L582</f>
        <v>10579.68</v>
      </c>
      <c r="U582" s="360" t="n">
        <f aca="false">U568*$L582</f>
        <v>8905.68</v>
      </c>
      <c r="V582" s="360" t="n">
        <f aca="false">V568*$L582</f>
        <v>10432.8</v>
      </c>
      <c r="W582" s="360" t="n">
        <f aca="false">W568*$L582</f>
        <v>5758.56</v>
      </c>
      <c r="X582" s="360" t="n">
        <f aca="false">X568*$L582</f>
        <v>8294.4</v>
      </c>
      <c r="Y582" s="360" t="n">
        <f aca="false">Y568*$L582</f>
        <v>8570.88</v>
      </c>
      <c r="AF582" s="417" t="n">
        <f aca="false">SUM(N582:Y582)</f>
        <v>98398.8</v>
      </c>
    </row>
    <row r="584" customFormat="false" ht="12.75" hidden="false" customHeight="true" outlineLevel="0" collapsed="false">
      <c r="N584" s="368"/>
      <c r="O584" s="368"/>
      <c r="P584" s="368"/>
      <c r="Q584" s="368"/>
      <c r="R584" s="368"/>
      <c r="S584" s="368"/>
      <c r="T584" s="368"/>
      <c r="U584" s="368"/>
      <c r="V584" s="368"/>
      <c r="W584" s="368"/>
      <c r="X584" s="368"/>
      <c r="Y584" s="368"/>
    </row>
    <row r="585" customFormat="false" ht="12.75" hidden="false" customHeight="true" outlineLevel="0" collapsed="false">
      <c r="N585" s="360" t="n">
        <f aca="false">SUM(N581:N584)</f>
        <v>7901.28</v>
      </c>
      <c r="O585" s="360" t="n">
        <f aca="false">SUM(O581:O584)</f>
        <v>10784.256</v>
      </c>
      <c r="P585" s="360" t="n">
        <f aca="false">SUM(P581:P584)</f>
        <v>10710.624</v>
      </c>
      <c r="Q585" s="360" t="n">
        <f aca="false">SUM(Q581:Q584)</f>
        <v>9515.52</v>
      </c>
      <c r="R585" s="360" t="n">
        <f aca="false">SUM(R581:R584)</f>
        <v>9657.12</v>
      </c>
      <c r="S585" s="360" t="n">
        <f aca="false">SUM(S581:S584)</f>
        <v>11554.56</v>
      </c>
      <c r="T585" s="360" t="n">
        <f aca="false">SUM(T581:T584)</f>
        <v>13871.136</v>
      </c>
      <c r="U585" s="360" t="n">
        <f aca="false">SUM(U581:U584)</f>
        <v>11676.336</v>
      </c>
      <c r="V585" s="360" t="n">
        <f aca="false">SUM(V581:V584)</f>
        <v>13678.56</v>
      </c>
      <c r="W585" s="360" t="n">
        <f aca="false">SUM(W581:W584)</f>
        <v>7550.112</v>
      </c>
      <c r="X585" s="360" t="n">
        <f aca="false">SUM(X581:X584)</f>
        <v>10874.88</v>
      </c>
      <c r="Y585" s="360" t="n">
        <f aca="false">SUM(Y581:Y584)</f>
        <v>11237.376</v>
      </c>
      <c r="Z585" s="417" t="n">
        <f aca="false">SUM(N585:Y585)</f>
        <v>129011.76</v>
      </c>
      <c r="AE585" s="417" t="n">
        <f aca="false">Z585</f>
        <v>129011.76</v>
      </c>
    </row>
    <row r="587" customFormat="false" ht="12.75" hidden="false" customHeight="true" outlineLevel="0" collapsed="false">
      <c r="A587" s="294" t="s">
        <v>231</v>
      </c>
      <c r="B587" s="294" t="s">
        <v>442</v>
      </c>
      <c r="C587" s="294" t="s">
        <v>369</v>
      </c>
      <c r="E587" s="487" t="n">
        <v>24568</v>
      </c>
      <c r="F587" s="462" t="s">
        <v>445</v>
      </c>
      <c r="G587" s="488" t="s">
        <v>443</v>
      </c>
      <c r="H587" s="488" t="n">
        <v>37256</v>
      </c>
      <c r="I587" s="489" t="n">
        <v>32000</v>
      </c>
      <c r="K587" s="357" t="n">
        <v>0.002</v>
      </c>
      <c r="N587" s="360" t="n">
        <f aca="false">N561*$K587</f>
        <v>1984</v>
      </c>
      <c r="O587" s="360" t="n">
        <f aca="false">O561*$K587</f>
        <v>1792</v>
      </c>
      <c r="P587" s="360" t="n">
        <f aca="false">P561*$K587</f>
        <v>1984</v>
      </c>
      <c r="Q587" s="360" t="n">
        <f aca="false">Q561*$K587</f>
        <v>1920</v>
      </c>
      <c r="R587" s="360" t="n">
        <f aca="false">R561*$K587</f>
        <v>1984</v>
      </c>
      <c r="S587" s="360" t="n">
        <f aca="false">S561*$K587</f>
        <v>1920</v>
      </c>
      <c r="T587" s="360" t="n">
        <f aca="false">T561*$K587</f>
        <v>1984</v>
      </c>
      <c r="U587" s="360" t="n">
        <f aca="false">U561*$K587</f>
        <v>1984</v>
      </c>
      <c r="V587" s="360" t="n">
        <f aca="false">V561*$K587</f>
        <v>1920</v>
      </c>
      <c r="W587" s="360" t="n">
        <f aca="false">W561*$K587</f>
        <v>1984</v>
      </c>
      <c r="X587" s="360" t="n">
        <f aca="false">X561*$K587</f>
        <v>1920</v>
      </c>
      <c r="Y587" s="360" t="n">
        <f aca="false">Y561*$K587</f>
        <v>1984</v>
      </c>
      <c r="AA587" s="360"/>
    </row>
    <row r="588" customFormat="false" ht="12.75" hidden="false" customHeight="true" outlineLevel="0" collapsed="false">
      <c r="A588" s="294" t="s">
        <v>231</v>
      </c>
      <c r="B588" s="294" t="s">
        <v>442</v>
      </c>
      <c r="C588" s="294" t="s">
        <v>369</v>
      </c>
      <c r="E588" s="359" t="n">
        <v>24654</v>
      </c>
      <c r="F588" s="466" t="s">
        <v>409</v>
      </c>
      <c r="G588" s="484" t="s">
        <v>443</v>
      </c>
      <c r="H588" s="484" t="n">
        <v>37256</v>
      </c>
      <c r="I588" s="485" t="n">
        <v>8000</v>
      </c>
      <c r="K588" s="357" t="n">
        <v>0.002</v>
      </c>
      <c r="N588" s="360" t="n">
        <f aca="false">N560*$K588</f>
        <v>496</v>
      </c>
      <c r="O588" s="360" t="n">
        <f aca="false">O560*$K588</f>
        <v>448</v>
      </c>
      <c r="P588" s="360" t="n">
        <f aca="false">P560*$K588</f>
        <v>496</v>
      </c>
      <c r="Q588" s="360" t="n">
        <f aca="false">Q560*$K588</f>
        <v>480</v>
      </c>
      <c r="R588" s="360" t="n">
        <f aca="false">R560*$K588</f>
        <v>496</v>
      </c>
      <c r="S588" s="360" t="n">
        <f aca="false">S560*$K588</f>
        <v>480</v>
      </c>
      <c r="T588" s="360" t="n">
        <f aca="false">T560*$K588</f>
        <v>496</v>
      </c>
      <c r="U588" s="360" t="n">
        <f aca="false">U560*$K588</f>
        <v>496</v>
      </c>
      <c r="V588" s="360" t="n">
        <f aca="false">V560*$K588</f>
        <v>480</v>
      </c>
      <c r="W588" s="360" t="n">
        <f aca="false">W560*$K588</f>
        <v>496</v>
      </c>
      <c r="X588" s="360" t="n">
        <f aca="false">X560*$K588</f>
        <v>480</v>
      </c>
      <c r="Y588" s="360" t="n">
        <f aca="false">Y560*$K588</f>
        <v>496</v>
      </c>
      <c r="AA588" s="360"/>
    </row>
    <row r="589" customFormat="false" ht="12.75" hidden="false" customHeight="true" outlineLevel="0" collapsed="false">
      <c r="N589" s="368"/>
      <c r="O589" s="368"/>
      <c r="P589" s="368"/>
      <c r="Q589" s="368"/>
      <c r="R589" s="368"/>
      <c r="S589" s="368"/>
      <c r="T589" s="368"/>
      <c r="U589" s="368"/>
      <c r="V589" s="368"/>
      <c r="W589" s="368"/>
      <c r="X589" s="368"/>
      <c r="Y589" s="368"/>
      <c r="AA589" s="300"/>
    </row>
    <row r="590" customFormat="false" ht="12.75" hidden="false" customHeight="true" outlineLevel="0" collapsed="false">
      <c r="N590" s="360" t="n">
        <f aca="false">SUM(N587:N589)</f>
        <v>2480</v>
      </c>
      <c r="O590" s="360" t="n">
        <f aca="false">SUM(O587:O589)</f>
        <v>2240</v>
      </c>
      <c r="P590" s="360" t="n">
        <f aca="false">SUM(P587:P589)</f>
        <v>2480</v>
      </c>
      <c r="Q590" s="360" t="n">
        <f aca="false">SUM(Q587:Q589)</f>
        <v>2400</v>
      </c>
      <c r="R590" s="360" t="n">
        <f aca="false">SUM(R587:R589)</f>
        <v>2480</v>
      </c>
      <c r="S590" s="360" t="n">
        <f aca="false">SUM(S587:S589)</f>
        <v>2400</v>
      </c>
      <c r="T590" s="360" t="n">
        <f aca="false">SUM(T587:T589)</f>
        <v>2480</v>
      </c>
      <c r="U590" s="360" t="n">
        <f aca="false">SUM(U587:U589)</f>
        <v>2480</v>
      </c>
      <c r="V590" s="360" t="n">
        <f aca="false">SUM(V587:V589)</f>
        <v>2400</v>
      </c>
      <c r="W590" s="360" t="n">
        <f aca="false">SUM(W587:W589)</f>
        <v>2480</v>
      </c>
      <c r="X590" s="360" t="n">
        <f aca="false">SUM(X587:X589)</f>
        <v>2400</v>
      </c>
      <c r="Y590" s="360" t="n">
        <f aca="false">SUM(Y587:Y589)</f>
        <v>2480</v>
      </c>
      <c r="Z590" s="417" t="n">
        <f aca="false">SUM(N590:Y590)</f>
        <v>29200</v>
      </c>
      <c r="AA590" s="417" t="n">
        <v>58400</v>
      </c>
      <c r="AB590" s="417" t="n">
        <f aca="false">AA590-Z590</f>
        <v>29200</v>
      </c>
    </row>
    <row r="591" customFormat="false" ht="12.75" hidden="false" customHeight="true" outlineLevel="0" collapsed="false">
      <c r="A591" s="422"/>
      <c r="B591" s="422"/>
      <c r="C591" s="422"/>
      <c r="D591" s="422"/>
      <c r="E591" s="423"/>
      <c r="F591" s="422"/>
      <c r="G591" s="422"/>
      <c r="H591" s="423"/>
      <c r="I591" s="424"/>
      <c r="J591" s="422"/>
      <c r="K591" s="425"/>
      <c r="L591" s="422"/>
      <c r="M591" s="426"/>
      <c r="N591" s="424"/>
      <c r="O591" s="424"/>
      <c r="P591" s="424"/>
      <c r="Q591" s="424"/>
      <c r="R591" s="424"/>
      <c r="S591" s="424"/>
      <c r="T591" s="424"/>
      <c r="U591" s="424"/>
      <c r="V591" s="424"/>
      <c r="W591" s="424"/>
      <c r="X591" s="424"/>
      <c r="Y591" s="424"/>
      <c r="Z591" s="422"/>
      <c r="AA591" s="422"/>
      <c r="AB591" s="422"/>
      <c r="AC591" s="422"/>
      <c r="AD591" s="422"/>
      <c r="AE591" s="422"/>
      <c r="AF591" s="422"/>
      <c r="AG591" s="422"/>
      <c r="AH591" s="422"/>
      <c r="AI591" s="422"/>
      <c r="AJ591" s="422"/>
      <c r="AK591" s="422"/>
      <c r="AL591" s="422"/>
      <c r="AM591" s="422"/>
      <c r="AN591" s="422"/>
      <c r="AO591" s="422"/>
      <c r="AP591" s="422"/>
      <c r="AQ591" s="422"/>
      <c r="AR591" s="422"/>
      <c r="AS591" s="422"/>
      <c r="AT591" s="422"/>
      <c r="AU591" s="422"/>
      <c r="AV591" s="422"/>
      <c r="AW591" s="422"/>
      <c r="AX591" s="422"/>
      <c r="AY591" s="422"/>
      <c r="AZ591" s="422"/>
      <c r="BA591" s="422"/>
      <c r="BB591" s="422"/>
      <c r="BC591" s="422"/>
      <c r="BD591" s="422"/>
      <c r="BE591" s="422"/>
      <c r="BF591" s="422"/>
      <c r="BG591" s="422"/>
      <c r="BH591" s="422"/>
      <c r="BI591" s="422"/>
      <c r="BJ591" s="422"/>
      <c r="BK591" s="422"/>
      <c r="BL591" s="422"/>
      <c r="BM591" s="422"/>
      <c r="BN591" s="422"/>
      <c r="BO591" s="422"/>
      <c r="BP591" s="422"/>
      <c r="BQ591" s="422"/>
      <c r="BR591" s="422"/>
      <c r="BS591" s="422"/>
      <c r="BT591" s="422"/>
      <c r="BU591" s="422"/>
      <c r="BV591" s="422"/>
      <c r="BW591" s="422"/>
      <c r="BX591" s="422"/>
      <c r="BY591" s="422"/>
      <c r="BZ591" s="422"/>
      <c r="CA591" s="422"/>
      <c r="CB591" s="422"/>
      <c r="CC591" s="422"/>
      <c r="CD591" s="422"/>
      <c r="CE591" s="422"/>
      <c r="CF591" s="422"/>
      <c r="CG591" s="422"/>
      <c r="CH591" s="422"/>
      <c r="CI591" s="422"/>
      <c r="CJ591" s="422"/>
      <c r="CK591" s="422"/>
      <c r="CL591" s="422"/>
      <c r="CM591" s="422"/>
      <c r="CN591" s="422"/>
      <c r="CO591" s="422"/>
      <c r="CP591" s="422"/>
      <c r="CQ591" s="422"/>
      <c r="CR591" s="422"/>
      <c r="CS591" s="422"/>
      <c r="CT591" s="422"/>
      <c r="CU591" s="422"/>
      <c r="CV591" s="422"/>
      <c r="CW591" s="422"/>
      <c r="CX591" s="422"/>
      <c r="CY591" s="422"/>
      <c r="CZ591" s="422"/>
      <c r="DA591" s="422"/>
      <c r="DB591" s="422"/>
      <c r="DC591" s="422"/>
      <c r="DD591" s="422"/>
      <c r="DE591" s="422"/>
      <c r="DF591" s="422"/>
      <c r="DG591" s="422"/>
      <c r="DH591" s="422"/>
      <c r="DI591" s="422"/>
      <c r="DJ591" s="422"/>
      <c r="DK591" s="422"/>
      <c r="DL591" s="422"/>
      <c r="DM591" s="422"/>
      <c r="DN591" s="422"/>
      <c r="DO591" s="422"/>
      <c r="DP591" s="422"/>
      <c r="DQ591" s="422"/>
      <c r="DR591" s="422"/>
      <c r="DS591" s="422"/>
      <c r="DT591" s="422"/>
      <c r="DU591" s="422"/>
      <c r="DV591" s="422"/>
      <c r="DW591" s="422"/>
      <c r="DX591" s="422"/>
      <c r="DY591" s="422"/>
      <c r="DZ591" s="422"/>
      <c r="EA591" s="422"/>
      <c r="EB591" s="422"/>
      <c r="EC591" s="422"/>
      <c r="ED591" s="422"/>
      <c r="EE591" s="422"/>
      <c r="EF591" s="422"/>
      <c r="EG591" s="422"/>
      <c r="EH591" s="422"/>
      <c r="EI591" s="422"/>
      <c r="EJ591" s="422"/>
      <c r="EK591" s="422"/>
      <c r="EL591" s="422"/>
      <c r="EM591" s="422"/>
      <c r="EN591" s="422"/>
      <c r="EO591" s="422"/>
      <c r="EP591" s="422"/>
      <c r="EQ591" s="422"/>
      <c r="ER591" s="422"/>
      <c r="ES591" s="422"/>
      <c r="ET591" s="422"/>
      <c r="EU591" s="422"/>
      <c r="EV591" s="422"/>
      <c r="EW591" s="422"/>
      <c r="EX591" s="422"/>
      <c r="EY591" s="422"/>
      <c r="EZ591" s="422"/>
      <c r="FA591" s="422"/>
      <c r="FB591" s="422"/>
      <c r="FC591" s="422"/>
      <c r="FD591" s="422"/>
      <c r="FE591" s="422"/>
      <c r="FF591" s="422"/>
      <c r="FG591" s="422"/>
      <c r="FH591" s="422"/>
      <c r="FI591" s="422"/>
      <c r="FJ591" s="422"/>
      <c r="FK591" s="422"/>
      <c r="FL591" s="422"/>
      <c r="FM591" s="422"/>
      <c r="FN591" s="422"/>
      <c r="FO591" s="422"/>
      <c r="FP591" s="422"/>
      <c r="FQ591" s="422"/>
      <c r="FR591" s="422"/>
      <c r="FS591" s="422"/>
      <c r="FT591" s="422"/>
      <c r="FU591" s="422"/>
      <c r="FV591" s="422"/>
      <c r="FW591" s="422"/>
      <c r="FX591" s="422"/>
      <c r="FY591" s="422"/>
      <c r="FZ591" s="422"/>
      <c r="GA591" s="422"/>
      <c r="GB591" s="422"/>
      <c r="GC591" s="422"/>
      <c r="GD591" s="422"/>
      <c r="GE591" s="422"/>
      <c r="GF591" s="422"/>
      <c r="GG591" s="422"/>
      <c r="GH591" s="422"/>
      <c r="GI591" s="422"/>
      <c r="GJ591" s="422"/>
      <c r="GK591" s="422"/>
      <c r="GL591" s="422"/>
      <c r="GM591" s="422"/>
      <c r="GN591" s="422"/>
      <c r="GO591" s="422"/>
      <c r="GP591" s="422"/>
      <c r="GQ591" s="422"/>
      <c r="GR591" s="422"/>
      <c r="GS591" s="422"/>
      <c r="GT591" s="422"/>
      <c r="GU591" s="422"/>
      <c r="GV591" s="422"/>
      <c r="GW591" s="422"/>
      <c r="GX591" s="422"/>
      <c r="GY591" s="422"/>
      <c r="GZ591" s="422"/>
      <c r="HA591" s="422"/>
      <c r="HB591" s="422"/>
      <c r="HC591" s="422"/>
      <c r="HD591" s="422"/>
      <c r="HE591" s="422"/>
      <c r="HF591" s="422"/>
      <c r="HG591" s="422"/>
      <c r="HH591" s="422"/>
      <c r="HI591" s="422"/>
      <c r="HJ591" s="422"/>
      <c r="HK591" s="422"/>
      <c r="HL591" s="422"/>
      <c r="HM591" s="422"/>
      <c r="HN591" s="422"/>
      <c r="HO591" s="422"/>
      <c r="HP591" s="422"/>
      <c r="HQ591" s="422"/>
      <c r="HR591" s="422"/>
      <c r="HS591" s="422"/>
      <c r="HT591" s="422"/>
      <c r="HU591" s="422"/>
      <c r="HV591" s="422"/>
      <c r="HW591" s="422"/>
      <c r="HX591" s="422"/>
      <c r="HY591" s="422"/>
      <c r="HZ591" s="422"/>
      <c r="IA591" s="422"/>
      <c r="IB591" s="422"/>
      <c r="IC591" s="422"/>
      <c r="ID591" s="422"/>
      <c r="IE591" s="422"/>
      <c r="IF591" s="422"/>
      <c r="IG591" s="422"/>
      <c r="IH591" s="422"/>
      <c r="II591" s="422"/>
      <c r="IJ591" s="422"/>
      <c r="IK591" s="422"/>
      <c r="IL591" s="422"/>
      <c r="IM591" s="422"/>
      <c r="IN591" s="422"/>
      <c r="IO591" s="422"/>
      <c r="IP591" s="422"/>
      <c r="IQ591" s="422"/>
      <c r="IR591" s="422"/>
      <c r="IS591" s="422"/>
      <c r="IT591" s="422"/>
      <c r="IU591" s="422"/>
      <c r="IV591" s="422"/>
      <c r="IW591" s="422"/>
    </row>
    <row r="594" customFormat="false" ht="12.75" hidden="false" customHeight="true" outlineLevel="0" collapsed="false">
      <c r="A594" s="294" t="s">
        <v>231</v>
      </c>
      <c r="B594" s="294" t="s">
        <v>447</v>
      </c>
      <c r="C594" s="294" t="s">
        <v>5</v>
      </c>
      <c r="D594" s="294" t="s">
        <v>332</v>
      </c>
      <c r="E594" s="483" t="n">
        <v>24809</v>
      </c>
      <c r="F594" s="483" t="s">
        <v>448</v>
      </c>
      <c r="G594" s="484" t="s">
        <v>449</v>
      </c>
      <c r="H594" s="488" t="n">
        <v>37225</v>
      </c>
      <c r="I594" s="485" t="n">
        <v>20000</v>
      </c>
      <c r="J594" s="490"/>
      <c r="K594" s="449"/>
      <c r="L594" s="449"/>
      <c r="M594" s="486" t="s">
        <v>450</v>
      </c>
      <c r="N594" s="360" t="n">
        <f aca="false">$I$594*N$1</f>
        <v>620000</v>
      </c>
      <c r="O594" s="360" t="n">
        <f aca="false">$I$594*O$1</f>
        <v>560000</v>
      </c>
      <c r="P594" s="360" t="n">
        <f aca="false">$I$594*P$1</f>
        <v>620000</v>
      </c>
      <c r="Q594" s="360" t="n">
        <f aca="false">$I$594*Q$1</f>
        <v>600000</v>
      </c>
      <c r="R594" s="360" t="n">
        <f aca="false">$I$594*R$1</f>
        <v>620000</v>
      </c>
      <c r="S594" s="360" t="n">
        <f aca="false">$I$594*S$1</f>
        <v>600000</v>
      </c>
      <c r="T594" s="360" t="n">
        <f aca="false">$I$594*T$1</f>
        <v>620000</v>
      </c>
      <c r="U594" s="360" t="n">
        <f aca="false">$I$594*U$1</f>
        <v>620000</v>
      </c>
      <c r="V594" s="360" t="n">
        <f aca="false">$I$594*V$1</f>
        <v>600000</v>
      </c>
      <c r="W594" s="360" t="n">
        <f aca="false">$I$594*W$1</f>
        <v>620000</v>
      </c>
      <c r="X594" s="360" t="n">
        <f aca="false">$I$594*X$1</f>
        <v>600000</v>
      </c>
    </row>
    <row r="595" customFormat="false" ht="12.75" hidden="false" customHeight="true" outlineLevel="0" collapsed="false">
      <c r="A595" s="294" t="s">
        <v>231</v>
      </c>
      <c r="B595" s="294" t="s">
        <v>447</v>
      </c>
      <c r="C595" s="294" t="s">
        <v>5</v>
      </c>
      <c r="D595" s="294" t="s">
        <v>332</v>
      </c>
      <c r="E595" s="483" t="n">
        <v>25025</v>
      </c>
      <c r="F595" s="483" t="s">
        <v>432</v>
      </c>
      <c r="G595" s="484" t="s">
        <v>451</v>
      </c>
      <c r="H595" s="484" t="n">
        <v>39051</v>
      </c>
      <c r="I595" s="485" t="n">
        <v>80000</v>
      </c>
      <c r="J595" s="490"/>
      <c r="K595" s="449"/>
      <c r="L595" s="449"/>
      <c r="M595" s="486" t="s">
        <v>346</v>
      </c>
      <c r="N595" s="360" t="n">
        <f aca="false">$I$595*N$1</f>
        <v>2480000</v>
      </c>
      <c r="O595" s="360" t="n">
        <f aca="false">$I$595*O$1</f>
        <v>2240000</v>
      </c>
      <c r="P595" s="360" t="n">
        <f aca="false">$I$595*P$1</f>
        <v>2480000</v>
      </c>
      <c r="Q595" s="360" t="n">
        <f aca="false">$I$595*Q$1</f>
        <v>2400000</v>
      </c>
      <c r="R595" s="360" t="n">
        <f aca="false">$I$595*R$1</f>
        <v>2480000</v>
      </c>
      <c r="S595" s="360" t="n">
        <f aca="false">$I$595*S$1</f>
        <v>2400000</v>
      </c>
      <c r="T595" s="360" t="n">
        <f aca="false">$I$595*T$1</f>
        <v>2480000</v>
      </c>
      <c r="U595" s="360" t="n">
        <f aca="false">$I$595*U$1</f>
        <v>2480000</v>
      </c>
      <c r="V595" s="360" t="n">
        <f aca="false">$I$595*V$1</f>
        <v>2400000</v>
      </c>
      <c r="W595" s="360" t="n">
        <f aca="false">$I$595*W$1</f>
        <v>2480000</v>
      </c>
      <c r="X595" s="360" t="n">
        <f aca="false">$I$595*X$1</f>
        <v>2400000</v>
      </c>
      <c r="Y595" s="360" t="n">
        <f aca="false">$I$595*Y$1</f>
        <v>2480000</v>
      </c>
    </row>
    <row r="597" customFormat="false" ht="12.75" hidden="false" customHeight="true" outlineLevel="0" collapsed="false">
      <c r="I597" s="368"/>
      <c r="N597" s="368"/>
      <c r="O597" s="368"/>
      <c r="P597" s="368"/>
      <c r="Q597" s="368"/>
      <c r="R597" s="368"/>
      <c r="S597" s="368"/>
      <c r="T597" s="368"/>
      <c r="U597" s="368"/>
      <c r="V597" s="368"/>
      <c r="W597" s="368"/>
      <c r="X597" s="368"/>
      <c r="Y597" s="368"/>
    </row>
    <row r="598" customFormat="false" ht="12.75" hidden="false" customHeight="true" outlineLevel="0" collapsed="false">
      <c r="I598" s="360" t="n">
        <f aca="false">SUM(I594:I597)</f>
        <v>100000</v>
      </c>
      <c r="N598" s="360" t="n">
        <f aca="false">SUM(N594:N597)</f>
        <v>3100000</v>
      </c>
      <c r="O598" s="360" t="n">
        <f aca="false">SUM(O594:O597)</f>
        <v>2800000</v>
      </c>
      <c r="P598" s="360" t="n">
        <f aca="false">SUM(P594:P597)</f>
        <v>3100000</v>
      </c>
      <c r="Q598" s="360" t="n">
        <f aca="false">SUM(Q594:Q597)</f>
        <v>3000000</v>
      </c>
      <c r="R598" s="360" t="n">
        <f aca="false">SUM(R594:R597)</f>
        <v>3100000</v>
      </c>
      <c r="S598" s="360" t="n">
        <f aca="false">SUM(S594:S597)</f>
        <v>3000000</v>
      </c>
      <c r="T598" s="360" t="n">
        <f aca="false">SUM(T594:T597)</f>
        <v>3100000</v>
      </c>
      <c r="U598" s="360" t="n">
        <f aca="false">SUM(U594:U597)</f>
        <v>3100000</v>
      </c>
      <c r="V598" s="360" t="n">
        <f aca="false">SUM(V594:V597)</f>
        <v>3000000</v>
      </c>
      <c r="W598" s="360" t="n">
        <f aca="false">SUM(W594:W597)</f>
        <v>3100000</v>
      </c>
      <c r="X598" s="360" t="n">
        <f aca="false">SUM(X594:X597)</f>
        <v>3000000</v>
      </c>
      <c r="Y598" s="360" t="n">
        <f aca="false">SUM(Y594:Y597)</f>
        <v>2480000</v>
      </c>
    </row>
    <row r="599" customFormat="false" ht="12.75" hidden="false" customHeight="true" outlineLevel="0" collapsed="false">
      <c r="A599" s="397" t="s">
        <v>414</v>
      </c>
      <c r="B599" s="398"/>
      <c r="C599" s="398"/>
      <c r="D599" s="398"/>
      <c r="E599" s="399"/>
      <c r="F599" s="398"/>
      <c r="G599" s="398"/>
      <c r="H599" s="399"/>
      <c r="I599" s="400"/>
      <c r="J599" s="398"/>
      <c r="K599" s="401"/>
      <c r="L599" s="398"/>
      <c r="M599" s="402"/>
      <c r="N599" s="403" t="n">
        <v>0.97</v>
      </c>
      <c r="O599" s="403" t="n">
        <v>0.98</v>
      </c>
      <c r="P599" s="403" t="n">
        <v>0.95</v>
      </c>
      <c r="Q599" s="403" t="n">
        <v>0.975</v>
      </c>
      <c r="R599" s="403" t="n">
        <v>0.982</v>
      </c>
      <c r="S599" s="403" t="n">
        <v>0.955</v>
      </c>
      <c r="T599" s="403" t="n">
        <v>0.954</v>
      </c>
      <c r="U599" s="403" t="n">
        <v>0.925</v>
      </c>
      <c r="V599" s="403" t="n">
        <v>0.98</v>
      </c>
      <c r="W599" s="403" t="n">
        <v>0.95</v>
      </c>
      <c r="X599" s="403" t="n">
        <v>0.95</v>
      </c>
      <c r="Y599" s="405" t="n">
        <v>0.94</v>
      </c>
    </row>
    <row r="600" customFormat="false" ht="12.75" hidden="false" customHeight="true" outlineLevel="0" collapsed="false">
      <c r="A600" s="294" t="s">
        <v>231</v>
      </c>
      <c r="B600" s="294" t="s">
        <v>447</v>
      </c>
      <c r="C600" s="294" t="s">
        <v>5</v>
      </c>
      <c r="D600" s="294" t="s">
        <v>329</v>
      </c>
      <c r="E600" s="483" t="n">
        <v>24809</v>
      </c>
      <c r="F600" s="483" t="s">
        <v>448</v>
      </c>
      <c r="G600" s="484" t="s">
        <v>449</v>
      </c>
      <c r="H600" s="488" t="n">
        <v>37225</v>
      </c>
      <c r="I600" s="485" t="n">
        <v>20000</v>
      </c>
      <c r="J600" s="490"/>
      <c r="K600" s="449"/>
      <c r="L600" s="449"/>
      <c r="M600" s="486" t="s">
        <v>450</v>
      </c>
      <c r="N600" s="360" t="n">
        <f aca="false">N594*N$599</f>
        <v>601400</v>
      </c>
      <c r="O600" s="360" t="n">
        <f aca="false">O594*O$599</f>
        <v>548800</v>
      </c>
      <c r="P600" s="360" t="n">
        <f aca="false">P594*P$599</f>
        <v>589000</v>
      </c>
      <c r="Q600" s="360" t="n">
        <f aca="false">Q594*Q$599</f>
        <v>585000</v>
      </c>
      <c r="R600" s="360" t="n">
        <f aca="false">R594*R$599</f>
        <v>608840</v>
      </c>
      <c r="S600" s="360" t="n">
        <f aca="false">S594*S$599</f>
        <v>573000</v>
      </c>
      <c r="T600" s="360" t="n">
        <f aca="false">T594*T$599</f>
        <v>591480</v>
      </c>
      <c r="U600" s="360" t="n">
        <f aca="false">U594*U$599</f>
        <v>573500</v>
      </c>
      <c r="V600" s="360" t="n">
        <f aca="false">V594*V$599</f>
        <v>588000</v>
      </c>
      <c r="W600" s="360" t="n">
        <f aca="false">W594*W$599</f>
        <v>589000</v>
      </c>
      <c r="X600" s="360" t="n">
        <f aca="false">X594*X$599</f>
        <v>570000</v>
      </c>
      <c r="Y600" s="360" t="n">
        <f aca="false">Y594*Y$599</f>
        <v>0</v>
      </c>
    </row>
    <row r="601" customFormat="false" ht="12.75" hidden="false" customHeight="true" outlineLevel="0" collapsed="false">
      <c r="A601" s="294" t="s">
        <v>231</v>
      </c>
      <c r="B601" s="294" t="s">
        <v>447</v>
      </c>
      <c r="C601" s="294" t="s">
        <v>5</v>
      </c>
      <c r="D601" s="294" t="s">
        <v>329</v>
      </c>
      <c r="E601" s="483" t="n">
        <v>25025</v>
      </c>
      <c r="F601" s="483" t="s">
        <v>432</v>
      </c>
      <c r="G601" s="484" t="s">
        <v>451</v>
      </c>
      <c r="H601" s="484" t="n">
        <v>39051</v>
      </c>
      <c r="I601" s="485" t="n">
        <v>80000</v>
      </c>
      <c r="J601" s="490"/>
      <c r="K601" s="449"/>
      <c r="L601" s="449"/>
      <c r="M601" s="486" t="s">
        <v>346</v>
      </c>
      <c r="N601" s="360" t="n">
        <f aca="false">N595*N$599</f>
        <v>2405600</v>
      </c>
      <c r="O601" s="360" t="n">
        <f aca="false">O595*O$599</f>
        <v>2195200</v>
      </c>
      <c r="P601" s="360" t="n">
        <f aca="false">P595*P$599</f>
        <v>2356000</v>
      </c>
      <c r="Q601" s="360" t="n">
        <f aca="false">Q595*Q$599</f>
        <v>2340000</v>
      </c>
      <c r="R601" s="360" t="n">
        <f aca="false">R595*R$599</f>
        <v>2435360</v>
      </c>
      <c r="S601" s="360" t="n">
        <f aca="false">S595*S$599</f>
        <v>2292000</v>
      </c>
      <c r="T601" s="360" t="n">
        <f aca="false">T595*T$599</f>
        <v>2365920</v>
      </c>
      <c r="U601" s="360" t="n">
        <f aca="false">U595*U$599</f>
        <v>2294000</v>
      </c>
      <c r="V601" s="360" t="n">
        <f aca="false">V595*V$599</f>
        <v>2352000</v>
      </c>
      <c r="W601" s="360" t="n">
        <f aca="false">W595*W$599</f>
        <v>2356000</v>
      </c>
      <c r="X601" s="360" t="n">
        <f aca="false">X595*X$599</f>
        <v>2280000</v>
      </c>
      <c r="Y601" s="360" t="n">
        <f aca="false">Y595*Y$599</f>
        <v>2331200</v>
      </c>
    </row>
    <row r="603" customFormat="false" ht="12.75" hidden="false" customHeight="true" outlineLevel="0" collapsed="false">
      <c r="I603" s="368"/>
      <c r="N603" s="368"/>
      <c r="O603" s="368"/>
      <c r="P603" s="368"/>
      <c r="Q603" s="368"/>
      <c r="R603" s="368"/>
      <c r="S603" s="368"/>
      <c r="T603" s="368"/>
      <c r="U603" s="368"/>
      <c r="V603" s="368"/>
      <c r="W603" s="368"/>
      <c r="X603" s="368"/>
      <c r="Y603" s="368"/>
    </row>
    <row r="604" customFormat="false" ht="12.75" hidden="false" customHeight="true" outlineLevel="0" collapsed="false">
      <c r="I604" s="360" t="n">
        <f aca="false">SUM(I600:I603)</f>
        <v>100000</v>
      </c>
      <c r="N604" s="360" t="n">
        <f aca="false">SUM(N600:N603)</f>
        <v>3007000</v>
      </c>
      <c r="O604" s="360" t="n">
        <f aca="false">SUM(O600:O603)</f>
        <v>2744000</v>
      </c>
      <c r="P604" s="360" t="n">
        <f aca="false">SUM(P600:P603)</f>
        <v>2945000</v>
      </c>
      <c r="Q604" s="360" t="n">
        <f aca="false">SUM(Q600:Q603)</f>
        <v>2925000</v>
      </c>
      <c r="R604" s="360" t="n">
        <f aca="false">SUM(R600:R603)</f>
        <v>3044200</v>
      </c>
      <c r="S604" s="360" t="n">
        <f aca="false">SUM(S600:S603)</f>
        <v>2865000</v>
      </c>
      <c r="T604" s="360" t="n">
        <f aca="false">SUM(T600:T603)</f>
        <v>2957400</v>
      </c>
      <c r="U604" s="360" t="n">
        <f aca="false">SUM(U600:U603)</f>
        <v>2867500</v>
      </c>
      <c r="V604" s="360" t="n">
        <f aca="false">SUM(V600:V603)</f>
        <v>2940000</v>
      </c>
      <c r="W604" s="360" t="n">
        <f aca="false">SUM(W600:W603)</f>
        <v>2945000</v>
      </c>
      <c r="X604" s="360" t="n">
        <f aca="false">SUM(X600:X603)</f>
        <v>2850000</v>
      </c>
      <c r="Y604" s="360" t="n">
        <f aca="false">SUM(Y600:Y603)</f>
        <v>2331200</v>
      </c>
    </row>
    <row r="606" customFormat="false" ht="12.75" hidden="false" customHeight="true" outlineLevel="0" collapsed="false">
      <c r="A606" s="294" t="s">
        <v>231</v>
      </c>
      <c r="B606" s="294" t="s">
        <v>447</v>
      </c>
      <c r="C606" s="294" t="s">
        <v>6</v>
      </c>
      <c r="D606" s="294" t="s">
        <v>332</v>
      </c>
      <c r="E606" s="483" t="n">
        <v>24809</v>
      </c>
      <c r="F606" s="483" t="s">
        <v>448</v>
      </c>
      <c r="G606" s="484" t="s">
        <v>449</v>
      </c>
      <c r="H606" s="488" t="n">
        <v>37225</v>
      </c>
      <c r="I606" s="485"/>
      <c r="J606" s="490"/>
      <c r="K606" s="449" t="n">
        <f aca="false">0.2106-0.0066+0.003</f>
        <v>0.207</v>
      </c>
      <c r="L606" s="449" t="n">
        <v>0.0192</v>
      </c>
      <c r="M606" s="486" t="s">
        <v>450</v>
      </c>
      <c r="N606" s="360" t="n">
        <f aca="false">N594*$K606</f>
        <v>128340</v>
      </c>
      <c r="O606" s="360" t="n">
        <f aca="false">O594*$K606</f>
        <v>115920</v>
      </c>
      <c r="P606" s="360" t="n">
        <f aca="false">P594*$K606</f>
        <v>128340</v>
      </c>
      <c r="Q606" s="360" t="n">
        <f aca="false">Q594*$K606</f>
        <v>124200</v>
      </c>
      <c r="R606" s="360" t="n">
        <f aca="false">R594*$K606</f>
        <v>128340</v>
      </c>
      <c r="S606" s="360" t="n">
        <f aca="false">S594*$K606</f>
        <v>124200</v>
      </c>
      <c r="T606" s="360" t="n">
        <f aca="false">T594*$K606</f>
        <v>128340</v>
      </c>
      <c r="U606" s="360" t="n">
        <f aca="false">U594*$K606</f>
        <v>128340</v>
      </c>
      <c r="V606" s="360" t="n">
        <f aca="false">V594*$K606</f>
        <v>124200</v>
      </c>
      <c r="W606" s="360" t="n">
        <f aca="false">W594*$K606</f>
        <v>128340</v>
      </c>
      <c r="X606" s="360" t="n">
        <f aca="false">X594*$K606</f>
        <v>124200</v>
      </c>
      <c r="Y606" s="360" t="n">
        <f aca="false">Y594*$K606</f>
        <v>0</v>
      </c>
    </row>
    <row r="607" customFormat="false" ht="12.75" hidden="false" customHeight="true" outlineLevel="0" collapsed="false">
      <c r="A607" s="294" t="s">
        <v>231</v>
      </c>
      <c r="B607" s="294" t="s">
        <v>447</v>
      </c>
      <c r="C607" s="294" t="s">
        <v>6</v>
      </c>
      <c r="D607" s="294" t="s">
        <v>332</v>
      </c>
      <c r="E607" s="483" t="n">
        <v>25025</v>
      </c>
      <c r="F607" s="483" t="s">
        <v>432</v>
      </c>
      <c r="G607" s="484" t="s">
        <v>451</v>
      </c>
      <c r="H607" s="484" t="n">
        <v>39051</v>
      </c>
      <c r="I607" s="485"/>
      <c r="J607" s="490"/>
      <c r="K607" s="449" t="n">
        <v>0.1346</v>
      </c>
      <c r="L607" s="449" t="n">
        <v>0.0104</v>
      </c>
      <c r="M607" s="486" t="s">
        <v>346</v>
      </c>
      <c r="N607" s="360" t="n">
        <f aca="false">N595*($K607+$L607)-N613</f>
        <v>334581.76</v>
      </c>
      <c r="O607" s="360" t="n">
        <f aca="false">O595*($K607+$L607)-O613</f>
        <v>301969.92</v>
      </c>
      <c r="P607" s="360" t="n">
        <f aca="false">P595*($K607+$L607)-P613</f>
        <v>335097.6</v>
      </c>
      <c r="Q607" s="360" t="n">
        <f aca="false">Q595*($K607+$L607)-Q613</f>
        <v>323664</v>
      </c>
      <c r="R607" s="360" t="n">
        <f aca="false">R595*($K607+$L607)-R613</f>
        <v>334272.256</v>
      </c>
      <c r="S607" s="360" t="n">
        <f aca="false">S595*($K607+$L607)-S613</f>
        <v>324163.2</v>
      </c>
      <c r="T607" s="360" t="n">
        <f aca="false">T595*($K607+$L607)-T613</f>
        <v>334994.432</v>
      </c>
      <c r="U607" s="360" t="n">
        <f aca="false">U595*($K607+$L607)-U613</f>
        <v>335742.4</v>
      </c>
      <c r="V607" s="360" t="n">
        <f aca="false">V595*($K607+$L607)-V613</f>
        <v>323539.2</v>
      </c>
      <c r="W607" s="360" t="n">
        <f aca="false">W595*($K607+$L607)-W613</f>
        <v>335097.6</v>
      </c>
      <c r="X607" s="360" t="n">
        <f aca="false">X595*($K607+$L607)-X613</f>
        <v>324288</v>
      </c>
      <c r="Y607" s="360" t="n">
        <f aca="false">Y595*($K607+$L607)-Y613</f>
        <v>335355.52</v>
      </c>
    </row>
    <row r="609" customFormat="false" ht="12.75" hidden="false" customHeight="true" outlineLevel="0" collapsed="false">
      <c r="I609" s="368"/>
      <c r="N609" s="368"/>
      <c r="O609" s="368"/>
      <c r="P609" s="368"/>
      <c r="Q609" s="368"/>
      <c r="R609" s="368"/>
      <c r="S609" s="368"/>
      <c r="T609" s="368"/>
      <c r="U609" s="368"/>
      <c r="V609" s="368"/>
      <c r="W609" s="368"/>
      <c r="X609" s="368"/>
      <c r="Y609" s="368"/>
    </row>
    <row r="610" customFormat="false" ht="12.75" hidden="false" customHeight="true" outlineLevel="0" collapsed="false">
      <c r="I610" s="360" t="n">
        <f aca="false">SUM(I606:I609)</f>
        <v>0</v>
      </c>
      <c r="N610" s="360" t="n">
        <f aca="false">SUM(N606:N609)</f>
        <v>462921.76</v>
      </c>
      <c r="O610" s="360" t="n">
        <f aca="false">SUM(O606:O609)</f>
        <v>417889.92</v>
      </c>
      <c r="P610" s="360" t="n">
        <f aca="false">SUM(P606:P609)</f>
        <v>463437.6</v>
      </c>
      <c r="Q610" s="360" t="n">
        <f aca="false">SUM(Q606:Q609)</f>
        <v>447864</v>
      </c>
      <c r="R610" s="360" t="n">
        <f aca="false">SUM(R606:R609)</f>
        <v>462612.256</v>
      </c>
      <c r="S610" s="360" t="n">
        <f aca="false">SUM(S606:S609)</f>
        <v>448363.2</v>
      </c>
      <c r="T610" s="360" t="n">
        <f aca="false">SUM(T606:T609)</f>
        <v>463334.432</v>
      </c>
      <c r="U610" s="360" t="n">
        <f aca="false">SUM(U606:U609)</f>
        <v>464082.4</v>
      </c>
      <c r="V610" s="360" t="n">
        <f aca="false">SUM(V606:V609)</f>
        <v>447739.2</v>
      </c>
      <c r="W610" s="360" t="n">
        <f aca="false">SUM(W606:W609)</f>
        <v>463437.6</v>
      </c>
      <c r="X610" s="360" t="n">
        <f aca="false">SUM(X606:X609)</f>
        <v>448488</v>
      </c>
      <c r="Y610" s="360" t="n">
        <f aca="false">SUM(Y606:Y609)</f>
        <v>335355.52</v>
      </c>
      <c r="Z610" s="417" t="n">
        <f aca="false">SUM(N610:Y610)</f>
        <v>5325525.888</v>
      </c>
    </row>
    <row r="612" customFormat="false" ht="12.75" hidden="false" customHeight="true" outlineLevel="0" collapsed="false">
      <c r="A612" s="294" t="s">
        <v>231</v>
      </c>
      <c r="B612" s="294" t="s">
        <v>447</v>
      </c>
      <c r="C612" s="294" t="s">
        <v>6</v>
      </c>
      <c r="D612" s="294" t="s">
        <v>329</v>
      </c>
      <c r="E612" s="483" t="n">
        <v>24809</v>
      </c>
      <c r="F612" s="483" t="s">
        <v>448</v>
      </c>
      <c r="G612" s="484" t="s">
        <v>449</v>
      </c>
      <c r="H612" s="488" t="n">
        <v>37225</v>
      </c>
      <c r="I612" s="485"/>
      <c r="J612" s="490"/>
      <c r="K612" s="449" t="n">
        <f aca="false">0.2106-0.0066+0.003</f>
        <v>0.207</v>
      </c>
      <c r="L612" s="449" t="n">
        <v>0.0192</v>
      </c>
      <c r="M612" s="486" t="s">
        <v>450</v>
      </c>
      <c r="N612" s="360" t="n">
        <f aca="false">N600*$L612</f>
        <v>11546.88</v>
      </c>
      <c r="O612" s="360" t="n">
        <f aca="false">O600*$L612</f>
        <v>10536.96</v>
      </c>
      <c r="P612" s="360" t="n">
        <f aca="false">P600*$L612</f>
        <v>11308.8</v>
      </c>
      <c r="Q612" s="360" t="n">
        <f aca="false">Q600*$L612</f>
        <v>11232</v>
      </c>
      <c r="R612" s="360" t="n">
        <f aca="false">R600*$L612</f>
        <v>11689.728</v>
      </c>
      <c r="S612" s="360" t="n">
        <f aca="false">S600*$L612</f>
        <v>11001.6</v>
      </c>
      <c r="T612" s="360" t="n">
        <f aca="false">T600*$L612</f>
        <v>11356.416</v>
      </c>
      <c r="U612" s="360" t="n">
        <f aca="false">U600*$L612</f>
        <v>11011.2</v>
      </c>
      <c r="V612" s="360" t="n">
        <f aca="false">V600*$L612</f>
        <v>11289.6</v>
      </c>
      <c r="W612" s="360" t="n">
        <f aca="false">W600*$L612</f>
        <v>11308.8</v>
      </c>
      <c r="X612" s="360" t="n">
        <f aca="false">X600*$L612</f>
        <v>10944</v>
      </c>
      <c r="Y612" s="360" t="n">
        <f aca="false">Y600*$L612</f>
        <v>0</v>
      </c>
    </row>
    <row r="613" customFormat="false" ht="12.75" hidden="false" customHeight="true" outlineLevel="0" collapsed="false">
      <c r="A613" s="294" t="s">
        <v>231</v>
      </c>
      <c r="B613" s="294" t="s">
        <v>447</v>
      </c>
      <c r="C613" s="294" t="s">
        <v>6</v>
      </c>
      <c r="D613" s="294" t="s">
        <v>329</v>
      </c>
      <c r="E613" s="483" t="n">
        <v>25025</v>
      </c>
      <c r="F613" s="483" t="s">
        <v>432</v>
      </c>
      <c r="G613" s="484" t="s">
        <v>451</v>
      </c>
      <c r="H613" s="484" t="n">
        <v>39051</v>
      </c>
      <c r="I613" s="485"/>
      <c r="J613" s="490"/>
      <c r="K613" s="449" t="n">
        <v>0.1346</v>
      </c>
      <c r="L613" s="449" t="n">
        <v>0.0104</v>
      </c>
      <c r="M613" s="486" t="s">
        <v>346</v>
      </c>
      <c r="N613" s="360" t="n">
        <f aca="false">N601*$L613</f>
        <v>25018.24</v>
      </c>
      <c r="O613" s="360" t="n">
        <f aca="false">O601*$L613</f>
        <v>22830.08</v>
      </c>
      <c r="P613" s="360" t="n">
        <f aca="false">P601*$L613</f>
        <v>24502.4</v>
      </c>
      <c r="Q613" s="360" t="n">
        <f aca="false">Q601*$L613</f>
        <v>24336</v>
      </c>
      <c r="R613" s="360" t="n">
        <f aca="false">R601*$L613</f>
        <v>25327.744</v>
      </c>
      <c r="S613" s="360" t="n">
        <f aca="false">S601*$L613</f>
        <v>23836.8</v>
      </c>
      <c r="T613" s="360" t="n">
        <f aca="false">T601*$L613</f>
        <v>24605.568</v>
      </c>
      <c r="U613" s="360" t="n">
        <f aca="false">U601*$L613</f>
        <v>23857.6</v>
      </c>
      <c r="V613" s="360" t="n">
        <f aca="false">V601*$L613</f>
        <v>24460.8</v>
      </c>
      <c r="W613" s="360" t="n">
        <f aca="false">W601*$L613</f>
        <v>24502.4</v>
      </c>
      <c r="X613" s="360" t="n">
        <f aca="false">X601*$L613</f>
        <v>23712</v>
      </c>
      <c r="Y613" s="360" t="n">
        <f aca="false">Y601*$L613</f>
        <v>24244.48</v>
      </c>
      <c r="AF613" s="417" t="n">
        <f aca="false">SUM(N613:Y613)</f>
        <v>291234.112</v>
      </c>
    </row>
    <row r="615" customFormat="false" ht="12.75" hidden="false" customHeight="true" outlineLevel="0" collapsed="false">
      <c r="I615" s="368"/>
      <c r="N615" s="368"/>
      <c r="O615" s="368"/>
      <c r="P615" s="368"/>
      <c r="Q615" s="368"/>
      <c r="R615" s="368"/>
      <c r="S615" s="368"/>
      <c r="T615" s="368"/>
      <c r="U615" s="368"/>
      <c r="V615" s="368"/>
      <c r="W615" s="368"/>
      <c r="X615" s="368"/>
      <c r="Y615" s="368"/>
    </row>
    <row r="616" customFormat="false" ht="12.75" hidden="false" customHeight="true" outlineLevel="0" collapsed="false">
      <c r="I616" s="360" t="n">
        <f aca="false">SUM(I612:I615)</f>
        <v>0</v>
      </c>
      <c r="N616" s="360" t="n">
        <f aca="false">SUM(N612:N615)</f>
        <v>36565.12</v>
      </c>
      <c r="O616" s="360" t="n">
        <f aca="false">SUM(O612:O615)</f>
        <v>33367.04</v>
      </c>
      <c r="P616" s="360" t="n">
        <f aca="false">SUM(P612:P615)</f>
        <v>35811.2</v>
      </c>
      <c r="Q616" s="360" t="n">
        <f aca="false">SUM(Q612:Q615)</f>
        <v>35568</v>
      </c>
      <c r="R616" s="360" t="n">
        <f aca="false">SUM(R612:R615)</f>
        <v>37017.472</v>
      </c>
      <c r="S616" s="360" t="n">
        <f aca="false">SUM(S612:S615)</f>
        <v>34838.4</v>
      </c>
      <c r="T616" s="360" t="n">
        <f aca="false">SUM(T612:T615)</f>
        <v>35961.984</v>
      </c>
      <c r="U616" s="360" t="n">
        <f aca="false">SUM(U612:U615)</f>
        <v>34868.8</v>
      </c>
      <c r="V616" s="360" t="n">
        <f aca="false">SUM(V612:V615)</f>
        <v>35750.4</v>
      </c>
      <c r="W616" s="360" t="n">
        <f aca="false">SUM(W612:W615)</f>
        <v>35811.2</v>
      </c>
      <c r="X616" s="360" t="n">
        <f aca="false">SUM(X612:X615)</f>
        <v>34656</v>
      </c>
      <c r="Y616" s="360" t="n">
        <f aca="false">SUM(Y612:Y615)</f>
        <v>24244.48</v>
      </c>
      <c r="Z616" s="417" t="n">
        <f aca="false">SUM(N616:Y616)</f>
        <v>414460.096</v>
      </c>
      <c r="AE616" s="417" t="n">
        <f aca="false">Z616</f>
        <v>414460.096</v>
      </c>
    </row>
    <row r="618" customFormat="false" ht="12.75" hidden="false" customHeight="true" outlineLevel="0" collapsed="false">
      <c r="A618" s="294" t="s">
        <v>231</v>
      </c>
      <c r="B618" s="294" t="s">
        <v>447</v>
      </c>
      <c r="C618" s="294" t="s">
        <v>5</v>
      </c>
      <c r="D618" s="294" t="s">
        <v>367</v>
      </c>
      <c r="N618" s="360" t="n">
        <v>1900</v>
      </c>
      <c r="O618" s="360" t="n">
        <v>1800</v>
      </c>
      <c r="P618" s="360" t="n">
        <v>2500</v>
      </c>
      <c r="Q618" s="360" t="n">
        <v>8000</v>
      </c>
      <c r="R618" s="360" t="n">
        <v>7000</v>
      </c>
      <c r="S618" s="360" t="n">
        <v>20600</v>
      </c>
      <c r="T618" s="360" t="n">
        <v>1900</v>
      </c>
      <c r="U618" s="360" t="n">
        <v>1800</v>
      </c>
      <c r="V618" s="360" t="n">
        <v>2500</v>
      </c>
      <c r="W618" s="360" t="n">
        <v>8000</v>
      </c>
      <c r="X618" s="360" t="n">
        <v>7000</v>
      </c>
      <c r="Y618" s="360" t="n">
        <v>20600</v>
      </c>
    </row>
    <row r="619" customFormat="false" ht="12.75" hidden="false" customHeight="true" outlineLevel="0" collapsed="false">
      <c r="C619" s="294" t="s">
        <v>225</v>
      </c>
      <c r="D619" s="294" t="s">
        <v>367</v>
      </c>
      <c r="N619" s="357" t="n">
        <v>0.2304</v>
      </c>
      <c r="O619" s="357" t="n">
        <v>0.0498</v>
      </c>
      <c r="P619" s="357" t="n">
        <v>0.05</v>
      </c>
      <c r="Q619" s="357" t="n">
        <v>0.05</v>
      </c>
      <c r="R619" s="357" t="n">
        <v>0.0516</v>
      </c>
      <c r="S619" s="357" t="n">
        <v>0.0533</v>
      </c>
      <c r="T619" s="357" t="n">
        <v>0.05</v>
      </c>
      <c r="U619" s="357" t="n">
        <v>0.0498</v>
      </c>
      <c r="V619" s="357" t="n">
        <v>0.05</v>
      </c>
      <c r="W619" s="357" t="n">
        <v>0.05</v>
      </c>
      <c r="X619" s="357" t="n">
        <v>0.0516</v>
      </c>
      <c r="Y619" s="357" t="n">
        <v>0.0533</v>
      </c>
    </row>
    <row r="620" customFormat="false" ht="12.75" hidden="false" customHeight="true" outlineLevel="0" collapsed="false">
      <c r="C620" s="294" t="s">
        <v>6</v>
      </c>
      <c r="D620" s="294" t="s">
        <v>367</v>
      </c>
      <c r="N620" s="360" t="n">
        <f aca="false">N618*N619*N1</f>
        <v>13570.56</v>
      </c>
      <c r="O620" s="360" t="n">
        <f aca="false">O618*O619*O1</f>
        <v>2509.92</v>
      </c>
      <c r="P620" s="360" t="n">
        <f aca="false">P618*P619*P1</f>
        <v>3875</v>
      </c>
      <c r="Q620" s="360" t="n">
        <f aca="false">Q618*Q619*Q1</f>
        <v>12000</v>
      </c>
      <c r="R620" s="360" t="n">
        <f aca="false">R618*R619*R1</f>
        <v>11197.2</v>
      </c>
      <c r="S620" s="360" t="n">
        <f aca="false">S618*S619*S1</f>
        <v>32939.4</v>
      </c>
      <c r="T620" s="360" t="n">
        <f aca="false">T618*T619*T1</f>
        <v>2945</v>
      </c>
      <c r="U620" s="360" t="n">
        <f aca="false">U618*U619*U1</f>
        <v>2778.84</v>
      </c>
      <c r="V620" s="360" t="n">
        <f aca="false">V618*V619*V1</f>
        <v>3750</v>
      </c>
      <c r="W620" s="360" t="n">
        <f aca="false">W618*W619*W1</f>
        <v>12400</v>
      </c>
      <c r="X620" s="360" t="n">
        <f aca="false">X618*X619*X1</f>
        <v>10836</v>
      </c>
      <c r="Y620" s="360" t="n">
        <f aca="false">Y618*Y619*Y1</f>
        <v>34037.38</v>
      </c>
      <c r="Z620" s="417" t="n">
        <f aca="false">SUM(N620:Y620)</f>
        <v>142839.3</v>
      </c>
    </row>
    <row r="623" customFormat="false" ht="12.75" hidden="false" customHeight="true" outlineLevel="0" collapsed="false">
      <c r="A623" s="294" t="s">
        <v>231</v>
      </c>
      <c r="B623" s="294" t="s">
        <v>447</v>
      </c>
      <c r="C623" s="294" t="s">
        <v>369</v>
      </c>
      <c r="E623" s="359" t="n">
        <v>24809</v>
      </c>
      <c r="F623" s="483" t="s">
        <v>448</v>
      </c>
      <c r="G623" s="484" t="s">
        <v>449</v>
      </c>
      <c r="H623" s="488" t="n">
        <v>37225</v>
      </c>
      <c r="I623" s="485" t="n">
        <v>20000</v>
      </c>
      <c r="K623" s="357" t="n">
        <v>0.003</v>
      </c>
      <c r="N623" s="360" t="n">
        <f aca="false">N594*$K623</f>
        <v>1860</v>
      </c>
      <c r="O623" s="360" t="n">
        <f aca="false">O594*$K623</f>
        <v>1680</v>
      </c>
      <c r="P623" s="360" t="n">
        <f aca="false">P594*$K623</f>
        <v>1860</v>
      </c>
      <c r="Q623" s="360" t="n">
        <f aca="false">Q594*$K623</f>
        <v>1800</v>
      </c>
      <c r="R623" s="360" t="n">
        <f aca="false">R594*$K623</f>
        <v>1860</v>
      </c>
      <c r="S623" s="360" t="n">
        <f aca="false">S594*$K623</f>
        <v>1800</v>
      </c>
      <c r="T623" s="360" t="n">
        <f aca="false">T594*$K623</f>
        <v>1860</v>
      </c>
      <c r="U623" s="360" t="n">
        <f aca="false">U594*$K623</f>
        <v>1860</v>
      </c>
      <c r="V623" s="360" t="n">
        <f aca="false">V594*$K623</f>
        <v>1800</v>
      </c>
      <c r="W623" s="360" t="n">
        <f aca="false">W594*$K623</f>
        <v>1860</v>
      </c>
      <c r="X623" s="360" t="n">
        <f aca="false">X594*$K623</f>
        <v>1800</v>
      </c>
      <c r="Y623" s="360" t="n">
        <f aca="false">Y594*$K623</f>
        <v>0</v>
      </c>
      <c r="Z623" s="417" t="n">
        <f aca="false">SUM(N623:Y623)</f>
        <v>20040</v>
      </c>
      <c r="AA623" s="360" t="n">
        <v>44088</v>
      </c>
      <c r="AB623" s="417" t="n">
        <f aca="false">AA623-Z623</f>
        <v>24048</v>
      </c>
    </row>
    <row r="628" customFormat="false" ht="12.75" hidden="false" customHeight="true" outlineLevel="0" collapsed="false">
      <c r="A628" s="422"/>
      <c r="B628" s="422"/>
      <c r="C628" s="422"/>
      <c r="D628" s="422"/>
      <c r="E628" s="423"/>
      <c r="F628" s="422"/>
      <c r="G628" s="422"/>
      <c r="H628" s="423"/>
      <c r="I628" s="424"/>
      <c r="J628" s="422"/>
      <c r="K628" s="425"/>
      <c r="L628" s="422"/>
      <c r="M628" s="426"/>
      <c r="N628" s="424"/>
      <c r="O628" s="424"/>
      <c r="P628" s="424"/>
      <c r="Q628" s="424"/>
      <c r="R628" s="424"/>
      <c r="S628" s="424"/>
      <c r="T628" s="424"/>
      <c r="U628" s="424"/>
      <c r="V628" s="424"/>
      <c r="W628" s="424"/>
      <c r="X628" s="424"/>
      <c r="Y628" s="424"/>
      <c r="Z628" s="422"/>
      <c r="AA628" s="422"/>
      <c r="AB628" s="422"/>
      <c r="AC628" s="422"/>
      <c r="AD628" s="422"/>
      <c r="AE628" s="422"/>
      <c r="AF628" s="422"/>
      <c r="AG628" s="422"/>
      <c r="AH628" s="422"/>
      <c r="AI628" s="422"/>
      <c r="AJ628" s="422"/>
      <c r="AK628" s="422"/>
      <c r="AL628" s="422"/>
      <c r="AM628" s="422"/>
      <c r="AN628" s="422"/>
      <c r="AO628" s="422"/>
      <c r="AP628" s="422"/>
      <c r="AQ628" s="422"/>
      <c r="AR628" s="422"/>
      <c r="AS628" s="422"/>
      <c r="AT628" s="422"/>
      <c r="AU628" s="422"/>
      <c r="AV628" s="422"/>
      <c r="AW628" s="422"/>
      <c r="AX628" s="422"/>
      <c r="AY628" s="422"/>
      <c r="AZ628" s="422"/>
      <c r="BA628" s="422"/>
      <c r="BB628" s="422"/>
      <c r="BC628" s="422"/>
      <c r="BD628" s="422"/>
      <c r="BE628" s="422"/>
      <c r="BF628" s="422"/>
      <c r="BG628" s="422"/>
      <c r="BH628" s="422"/>
      <c r="BI628" s="422"/>
      <c r="BJ628" s="422"/>
      <c r="BK628" s="422"/>
      <c r="BL628" s="422"/>
      <c r="BM628" s="422"/>
      <c r="BN628" s="422"/>
      <c r="BO628" s="422"/>
      <c r="BP628" s="422"/>
      <c r="BQ628" s="422"/>
      <c r="BR628" s="422"/>
      <c r="BS628" s="422"/>
      <c r="BT628" s="422"/>
      <c r="BU628" s="422"/>
      <c r="BV628" s="422"/>
      <c r="BW628" s="422"/>
      <c r="BX628" s="422"/>
      <c r="BY628" s="422"/>
      <c r="BZ628" s="422"/>
      <c r="CA628" s="422"/>
      <c r="CB628" s="422"/>
      <c r="CC628" s="422"/>
      <c r="CD628" s="422"/>
      <c r="CE628" s="422"/>
      <c r="CF628" s="422"/>
      <c r="CG628" s="422"/>
      <c r="CH628" s="422"/>
      <c r="CI628" s="422"/>
      <c r="CJ628" s="422"/>
      <c r="CK628" s="422"/>
      <c r="CL628" s="422"/>
      <c r="CM628" s="422"/>
      <c r="CN628" s="422"/>
      <c r="CO628" s="422"/>
      <c r="CP628" s="422"/>
      <c r="CQ628" s="422"/>
      <c r="CR628" s="422"/>
      <c r="CS628" s="422"/>
      <c r="CT628" s="422"/>
      <c r="CU628" s="422"/>
      <c r="CV628" s="422"/>
      <c r="CW628" s="422"/>
      <c r="CX628" s="422"/>
      <c r="CY628" s="422"/>
      <c r="CZ628" s="422"/>
      <c r="DA628" s="422"/>
      <c r="DB628" s="422"/>
      <c r="DC628" s="422"/>
      <c r="DD628" s="422"/>
      <c r="DE628" s="422"/>
      <c r="DF628" s="422"/>
      <c r="DG628" s="422"/>
      <c r="DH628" s="422"/>
      <c r="DI628" s="422"/>
      <c r="DJ628" s="422"/>
      <c r="DK628" s="422"/>
      <c r="DL628" s="422"/>
      <c r="DM628" s="422"/>
      <c r="DN628" s="422"/>
      <c r="DO628" s="422"/>
      <c r="DP628" s="422"/>
      <c r="DQ628" s="422"/>
      <c r="DR628" s="422"/>
      <c r="DS628" s="422"/>
      <c r="DT628" s="422"/>
      <c r="DU628" s="422"/>
      <c r="DV628" s="422"/>
      <c r="DW628" s="422"/>
      <c r="DX628" s="422"/>
      <c r="DY628" s="422"/>
      <c r="DZ628" s="422"/>
      <c r="EA628" s="422"/>
      <c r="EB628" s="422"/>
      <c r="EC628" s="422"/>
      <c r="ED628" s="422"/>
      <c r="EE628" s="422"/>
      <c r="EF628" s="422"/>
      <c r="EG628" s="422"/>
      <c r="EH628" s="422"/>
      <c r="EI628" s="422"/>
      <c r="EJ628" s="422"/>
      <c r="EK628" s="422"/>
      <c r="EL628" s="422"/>
      <c r="EM628" s="422"/>
      <c r="EN628" s="422"/>
      <c r="EO628" s="422"/>
      <c r="EP628" s="422"/>
      <c r="EQ628" s="422"/>
      <c r="ER628" s="422"/>
      <c r="ES628" s="422"/>
      <c r="ET628" s="422"/>
      <c r="EU628" s="422"/>
      <c r="EV628" s="422"/>
      <c r="EW628" s="422"/>
      <c r="EX628" s="422"/>
      <c r="EY628" s="422"/>
      <c r="EZ628" s="422"/>
      <c r="FA628" s="422"/>
      <c r="FB628" s="422"/>
      <c r="FC628" s="422"/>
      <c r="FD628" s="422"/>
      <c r="FE628" s="422"/>
      <c r="FF628" s="422"/>
      <c r="FG628" s="422"/>
      <c r="FH628" s="422"/>
      <c r="FI628" s="422"/>
      <c r="FJ628" s="422"/>
      <c r="FK628" s="422"/>
      <c r="FL628" s="422"/>
      <c r="FM628" s="422"/>
      <c r="FN628" s="422"/>
      <c r="FO628" s="422"/>
      <c r="FP628" s="422"/>
      <c r="FQ628" s="422"/>
      <c r="FR628" s="422"/>
      <c r="FS628" s="422"/>
      <c r="FT628" s="422"/>
      <c r="FU628" s="422"/>
      <c r="FV628" s="422"/>
      <c r="FW628" s="422"/>
      <c r="FX628" s="422"/>
      <c r="FY628" s="422"/>
      <c r="FZ628" s="422"/>
      <c r="GA628" s="422"/>
      <c r="GB628" s="422"/>
      <c r="GC628" s="422"/>
      <c r="GD628" s="422"/>
      <c r="GE628" s="422"/>
      <c r="GF628" s="422"/>
      <c r="GG628" s="422"/>
      <c r="GH628" s="422"/>
      <c r="GI628" s="422"/>
      <c r="GJ628" s="422"/>
      <c r="GK628" s="422"/>
      <c r="GL628" s="422"/>
      <c r="GM628" s="422"/>
      <c r="GN628" s="422"/>
      <c r="GO628" s="422"/>
      <c r="GP628" s="422"/>
      <c r="GQ628" s="422"/>
      <c r="GR628" s="422"/>
      <c r="GS628" s="422"/>
      <c r="GT628" s="422"/>
      <c r="GU628" s="422"/>
      <c r="GV628" s="422"/>
      <c r="GW628" s="422"/>
      <c r="GX628" s="422"/>
      <c r="GY628" s="422"/>
      <c r="GZ628" s="422"/>
      <c r="HA628" s="422"/>
      <c r="HB628" s="422"/>
      <c r="HC628" s="422"/>
      <c r="HD628" s="422"/>
      <c r="HE628" s="422"/>
      <c r="HF628" s="422"/>
      <c r="HG628" s="422"/>
      <c r="HH628" s="422"/>
      <c r="HI628" s="422"/>
      <c r="HJ628" s="422"/>
      <c r="HK628" s="422"/>
      <c r="HL628" s="422"/>
      <c r="HM628" s="422"/>
      <c r="HN628" s="422"/>
      <c r="HO628" s="422"/>
      <c r="HP628" s="422"/>
      <c r="HQ628" s="422"/>
      <c r="HR628" s="422"/>
      <c r="HS628" s="422"/>
      <c r="HT628" s="422"/>
      <c r="HU628" s="422"/>
      <c r="HV628" s="422"/>
      <c r="HW628" s="422"/>
      <c r="HX628" s="422"/>
      <c r="HY628" s="422"/>
      <c r="HZ628" s="422"/>
      <c r="IA628" s="422"/>
      <c r="IB628" s="422"/>
      <c r="IC628" s="422"/>
      <c r="ID628" s="422"/>
      <c r="IE628" s="422"/>
      <c r="IF628" s="422"/>
      <c r="IG628" s="422"/>
      <c r="IH628" s="422"/>
      <c r="II628" s="422"/>
      <c r="IJ628" s="422"/>
      <c r="IK628" s="422"/>
      <c r="IL628" s="422"/>
      <c r="IM628" s="422"/>
      <c r="IN628" s="422"/>
      <c r="IO628" s="422"/>
      <c r="IP628" s="422"/>
      <c r="IQ628" s="422"/>
      <c r="IR628" s="422"/>
      <c r="IS628" s="422"/>
      <c r="IT628" s="422"/>
      <c r="IU628" s="422"/>
      <c r="IV628" s="422"/>
      <c r="IW628" s="422"/>
    </row>
    <row r="630" customFormat="false" ht="12.75" hidden="false" customHeight="true" outlineLevel="0" collapsed="false">
      <c r="Z630" s="491" t="n">
        <f aca="false">SUM(Z5:Z629)</f>
        <v>167067182.9976</v>
      </c>
      <c r="AA630" s="491" t="n">
        <f aca="false">SUM(AA5:AA629)</f>
        <v>1408744</v>
      </c>
      <c r="AB630" s="491" t="n">
        <f aca="false">SUM(AB5:AB629)</f>
        <v>751624</v>
      </c>
      <c r="AC630" s="491" t="n">
        <f aca="false">SUM(AC5:AC629)</f>
        <v>7951312.5</v>
      </c>
      <c r="AD630" s="491" t="n">
        <f aca="false">SUM(AD5:AD629)</f>
        <v>585645.37087</v>
      </c>
      <c r="AE630" s="491" t="n">
        <f aca="false">SUM(AE5:AE629)</f>
        <v>11125307.5989386</v>
      </c>
      <c r="AF630" s="491" t="n">
        <f aca="false">SUM(AF5:AF629)</f>
        <v>3559849.3244746</v>
      </c>
    </row>
    <row r="631" customFormat="false" ht="12.75" hidden="false" customHeight="true" outlineLevel="0" collapsed="false">
      <c r="Z631" s="417" t="n">
        <f aca="false">Z630-AA630+AB630-Z104-Z177</f>
        <v>156561040.5976</v>
      </c>
    </row>
    <row r="632" customFormat="false" ht="12.75" hidden="false" customHeight="true" outlineLevel="0" collapsed="false">
      <c r="AE632" s="417" t="n">
        <f aca="false">AE630-AD630</f>
        <v>10539662.2280686</v>
      </c>
    </row>
  </sheetData>
  <printOptions headings="true" gridLines="false" gridLinesSet="true" horizontalCentered="false" verticalCentered="false"/>
  <pageMargins left="0.25" right="0.25" top="0.5" bottom="0.5" header="0.25" footer="0.25"/>
  <pageSetup paperSize="5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&amp;L&amp;10Transwestern Pipeline Company
2001 Forecast- Commercial</oddHeader>
    <oddFooter>&amp;L&amp;D
&amp;T&amp;C&amp;P&amp;R&amp;F&amp;A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41"/>
  <sheetViews>
    <sheetView showFormulas="false" showGridLines="true" showRowColHeaders="true" showZeros="true" rightToLeft="false" tabSelected="false" showOutlineSymbols="true" defaultGridColor="true" view="normal" topLeftCell="A312" colorId="64" zoomScale="100" zoomScaleNormal="100" zoomScalePageLayoutView="100" workbookViewId="0">
      <selection pane="topLeft" activeCell="I41" activeCellId="0" sqref="I4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294" width="15.59"/>
    <col collapsed="false" customWidth="true" hidden="true" outlineLevel="0" max="2" min="2" style="294" width="9.46"/>
    <col collapsed="false" customWidth="true" hidden="false" outlineLevel="0" max="3" min="3" style="294" width="22.78"/>
    <col collapsed="false" customWidth="true" hidden="false" outlineLevel="0" max="4" min="4" style="294" width="28.38"/>
    <col collapsed="false" customWidth="true" hidden="true" outlineLevel="0" max="5" min="5" style="294" width="16.99"/>
    <col collapsed="false" customWidth="true" hidden="false" outlineLevel="0" max="6" min="6" style="360" width="16.99"/>
    <col collapsed="false" customWidth="true" hidden="false" outlineLevel="0" max="7" min="7" style="294" width="17.19"/>
    <col collapsed="false" customWidth="false" hidden="false" outlineLevel="0" max="257" min="8" style="294" width="9.59"/>
  </cols>
  <sheetData>
    <row r="2" customFormat="false" ht="25.5" hidden="false" customHeight="false" outlineLevel="0" collapsed="false">
      <c r="A2" s="492" t="s">
        <v>452</v>
      </c>
      <c r="B2" s="294" t="s">
        <v>453</v>
      </c>
      <c r="C2" s="294" t="s">
        <v>454</v>
      </c>
      <c r="D2" s="294" t="s">
        <v>455</v>
      </c>
      <c r="E2" s="294" t="s">
        <v>456</v>
      </c>
      <c r="F2" s="360" t="s">
        <v>457</v>
      </c>
      <c r="G2" s="294" t="s">
        <v>458</v>
      </c>
    </row>
    <row r="3" customFormat="false" ht="12.75" hidden="false" customHeight="false" outlineLevel="0" collapsed="false">
      <c r="A3" s="375" t="n">
        <v>35431</v>
      </c>
      <c r="B3" s="294" t="s">
        <v>459</v>
      </c>
      <c r="C3" s="294" t="s">
        <v>460</v>
      </c>
      <c r="D3" s="294" t="s">
        <v>460</v>
      </c>
      <c r="E3" s="493" t="n">
        <v>1528263</v>
      </c>
      <c r="F3" s="360" t="n">
        <f aca="false">E3/31</f>
        <v>49298.8064516129</v>
      </c>
      <c r="G3" s="493" t="n">
        <v>87136.17</v>
      </c>
    </row>
    <row r="4" customFormat="false" ht="12.75" hidden="false" customHeight="false" outlineLevel="0" collapsed="false">
      <c r="A4" s="375" t="n">
        <v>35462</v>
      </c>
      <c r="B4" s="294" t="s">
        <v>459</v>
      </c>
      <c r="C4" s="294" t="s">
        <v>460</v>
      </c>
      <c r="D4" s="294" t="s">
        <v>460</v>
      </c>
      <c r="E4" s="493" t="n">
        <v>1233398</v>
      </c>
      <c r="F4" s="360" t="n">
        <f aca="false">E4/28</f>
        <v>44049.9285714286</v>
      </c>
      <c r="G4" s="493" t="n">
        <v>72155.23</v>
      </c>
    </row>
    <row r="5" customFormat="false" ht="12.75" hidden="false" customHeight="false" outlineLevel="0" collapsed="false">
      <c r="A5" s="375" t="n">
        <v>35490</v>
      </c>
      <c r="B5" s="294" t="s">
        <v>459</v>
      </c>
      <c r="C5" s="294" t="s">
        <v>460</v>
      </c>
      <c r="D5" s="294" t="s">
        <v>460</v>
      </c>
      <c r="E5" s="493" t="n">
        <v>794698</v>
      </c>
      <c r="F5" s="360" t="n">
        <f aca="false">(E5/31)-73</f>
        <v>25562.4193548387</v>
      </c>
      <c r="G5" s="493" t="n">
        <f aca="false">44463.77-270.38</f>
        <v>44193.39</v>
      </c>
    </row>
    <row r="6" customFormat="false" ht="12.75" hidden="false" customHeight="false" outlineLevel="0" collapsed="false">
      <c r="A6" s="375" t="n">
        <v>35521</v>
      </c>
      <c r="B6" s="294" t="s">
        <v>459</v>
      </c>
      <c r="C6" s="294" t="s">
        <v>460</v>
      </c>
      <c r="D6" s="294" t="s">
        <v>460</v>
      </c>
      <c r="E6" s="493" t="n">
        <v>545886</v>
      </c>
      <c r="F6" s="360" t="n">
        <f aca="false">E6/30</f>
        <v>18196.2</v>
      </c>
      <c r="G6" s="493" t="n">
        <v>41114.09</v>
      </c>
    </row>
    <row r="7" customFormat="false" ht="12.75" hidden="false" customHeight="false" outlineLevel="0" collapsed="false">
      <c r="A7" s="375" t="n">
        <v>35551</v>
      </c>
      <c r="B7" s="294" t="s">
        <v>459</v>
      </c>
      <c r="C7" s="294" t="s">
        <v>460</v>
      </c>
      <c r="D7" s="294" t="s">
        <v>460</v>
      </c>
      <c r="E7" s="493" t="n">
        <v>808237</v>
      </c>
      <c r="F7" s="360" t="n">
        <f aca="false">E7/31</f>
        <v>26072.1612903226</v>
      </c>
      <c r="G7" s="493" t="n">
        <v>45080.49</v>
      </c>
    </row>
    <row r="8" customFormat="false" ht="12.75" hidden="false" customHeight="false" outlineLevel="0" collapsed="false">
      <c r="A8" s="375" t="n">
        <v>35582</v>
      </c>
      <c r="B8" s="294" t="s">
        <v>459</v>
      </c>
      <c r="C8" s="294" t="s">
        <v>460</v>
      </c>
      <c r="D8" s="294" t="s">
        <v>460</v>
      </c>
      <c r="E8" s="493" t="n">
        <v>660986</v>
      </c>
      <c r="F8" s="360" t="n">
        <f aca="false">E8/30</f>
        <v>22032.8666666667</v>
      </c>
      <c r="G8" s="493" t="n">
        <v>41145.2</v>
      </c>
    </row>
    <row r="9" customFormat="false" ht="12.75" hidden="false" customHeight="false" outlineLevel="0" collapsed="false">
      <c r="A9" s="375" t="n">
        <v>35612</v>
      </c>
      <c r="B9" s="294" t="s">
        <v>459</v>
      </c>
      <c r="C9" s="294" t="s">
        <v>460</v>
      </c>
      <c r="D9" s="294" t="s">
        <v>460</v>
      </c>
      <c r="E9" s="493" t="n">
        <v>519243</v>
      </c>
      <c r="F9" s="360" t="n">
        <f aca="false">E9/31</f>
        <v>16749.7741935484</v>
      </c>
      <c r="G9" s="493" t="n">
        <v>34941.63</v>
      </c>
    </row>
    <row r="10" customFormat="false" ht="12.75" hidden="false" customHeight="false" outlineLevel="0" collapsed="false">
      <c r="A10" s="375" t="n">
        <v>35643</v>
      </c>
      <c r="B10" s="294" t="s">
        <v>459</v>
      </c>
      <c r="C10" s="294" t="s">
        <v>460</v>
      </c>
      <c r="D10" s="294" t="s">
        <v>460</v>
      </c>
      <c r="E10" s="493" t="n">
        <v>784475</v>
      </c>
      <c r="F10" s="360" t="n">
        <f aca="false">E10/31</f>
        <v>25305.6451612903</v>
      </c>
      <c r="G10" s="493" t="n">
        <f aca="false">47548.02-400</f>
        <v>47148.02</v>
      </c>
    </row>
    <row r="11" customFormat="false" ht="12.75" hidden="false" customHeight="false" outlineLevel="0" collapsed="false">
      <c r="A11" s="375" t="n">
        <v>35674</v>
      </c>
      <c r="B11" s="294" t="s">
        <v>459</v>
      </c>
      <c r="C11" s="294" t="s">
        <v>460</v>
      </c>
      <c r="D11" s="294" t="s">
        <v>460</v>
      </c>
      <c r="E11" s="493" t="n">
        <v>501675</v>
      </c>
      <c r="F11" s="360" t="n">
        <f aca="false">E11/30</f>
        <v>16722.5</v>
      </c>
      <c r="G11" s="493" t="n">
        <v>30678.34</v>
      </c>
    </row>
    <row r="12" customFormat="false" ht="12.75" hidden="false" customHeight="false" outlineLevel="0" collapsed="false">
      <c r="A12" s="375" t="n">
        <v>35704</v>
      </c>
      <c r="B12" s="294" t="s">
        <v>459</v>
      </c>
      <c r="C12" s="294" t="s">
        <v>460</v>
      </c>
      <c r="D12" s="294" t="s">
        <v>460</v>
      </c>
      <c r="E12" s="493" t="n">
        <v>1327475</v>
      </c>
      <c r="F12" s="360" t="n">
        <f aca="false">E12/31</f>
        <v>42821.7741935484</v>
      </c>
      <c r="G12" s="493" t="n">
        <v>75440.93</v>
      </c>
    </row>
    <row r="13" customFormat="false" ht="12.75" hidden="false" customHeight="false" outlineLevel="0" collapsed="false">
      <c r="A13" s="375" t="n">
        <v>35735</v>
      </c>
      <c r="B13" s="294" t="s">
        <v>459</v>
      </c>
      <c r="C13" s="294" t="s">
        <v>460</v>
      </c>
      <c r="D13" s="294" t="s">
        <v>460</v>
      </c>
      <c r="E13" s="493" t="n">
        <v>1803408</v>
      </c>
      <c r="F13" s="360" t="n">
        <f aca="false">(E13/30)-1254</f>
        <v>58859.6</v>
      </c>
      <c r="G13" s="493" t="n">
        <f aca="false">97274.55-349.87</f>
        <v>96924.68</v>
      </c>
    </row>
    <row r="14" customFormat="false" ht="12.75" hidden="false" customHeight="false" outlineLevel="0" collapsed="false">
      <c r="A14" s="375" t="n">
        <v>35765</v>
      </c>
      <c r="B14" s="294" t="s">
        <v>459</v>
      </c>
      <c r="C14" s="294" t="s">
        <v>460</v>
      </c>
      <c r="D14" s="294" t="s">
        <v>460</v>
      </c>
      <c r="E14" s="493" t="n">
        <v>1895055</v>
      </c>
      <c r="F14" s="360" t="n">
        <f aca="false">(E14/31)+1214</f>
        <v>62344.8064516129</v>
      </c>
      <c r="G14" s="493" t="n">
        <f aca="false">85420.34-3706.23</f>
        <v>81714.11</v>
      </c>
    </row>
    <row r="15" customFormat="false" ht="12.75" hidden="false" customHeight="false" outlineLevel="0" collapsed="false">
      <c r="A15" s="375" t="n">
        <v>35796</v>
      </c>
      <c r="B15" s="294" t="s">
        <v>459</v>
      </c>
      <c r="C15" s="294" t="s">
        <v>460</v>
      </c>
      <c r="D15" s="294" t="s">
        <v>460</v>
      </c>
      <c r="E15" s="493" t="n">
        <v>1280243</v>
      </c>
      <c r="F15" s="360" t="n">
        <f aca="false">E15/31</f>
        <v>41298.1612903226</v>
      </c>
      <c r="G15" s="493" t="n">
        <v>70567.65</v>
      </c>
    </row>
    <row r="16" customFormat="false" ht="12.75" hidden="false" customHeight="false" outlineLevel="0" collapsed="false">
      <c r="A16" s="375" t="n">
        <v>35827</v>
      </c>
      <c r="B16" s="294" t="s">
        <v>459</v>
      </c>
      <c r="C16" s="294" t="s">
        <v>460</v>
      </c>
      <c r="D16" s="294" t="s">
        <v>460</v>
      </c>
      <c r="E16" s="493" t="n">
        <v>432272</v>
      </c>
      <c r="F16" s="360" t="n">
        <f aca="false">E16/28</f>
        <v>15438.2857142857</v>
      </c>
      <c r="G16" s="493" t="n">
        <v>20828.67</v>
      </c>
    </row>
    <row r="17" customFormat="false" ht="12.75" hidden="false" customHeight="false" outlineLevel="0" collapsed="false">
      <c r="A17" s="375" t="n">
        <v>35855</v>
      </c>
      <c r="B17" s="294" t="s">
        <v>459</v>
      </c>
      <c r="C17" s="294" t="s">
        <v>460</v>
      </c>
      <c r="D17" s="294" t="s">
        <v>460</v>
      </c>
      <c r="E17" s="493" t="n">
        <v>663007</v>
      </c>
      <c r="F17" s="360" t="n">
        <f aca="false">E17/31</f>
        <v>21387.3225806452</v>
      </c>
      <c r="G17" s="493" t="n">
        <v>33358.39</v>
      </c>
    </row>
    <row r="18" customFormat="false" ht="12.75" hidden="false" customHeight="false" outlineLevel="0" collapsed="false">
      <c r="A18" s="375" t="n">
        <v>35886</v>
      </c>
      <c r="B18" s="294" t="s">
        <v>459</v>
      </c>
      <c r="C18" s="294" t="s">
        <v>460</v>
      </c>
      <c r="D18" s="294" t="s">
        <v>460</v>
      </c>
      <c r="E18" s="493" t="n">
        <v>653649</v>
      </c>
      <c r="F18" s="360" t="n">
        <f aca="false">E18/30</f>
        <v>21788.3</v>
      </c>
      <c r="G18" s="493" t="n">
        <v>30406.39</v>
      </c>
    </row>
    <row r="19" customFormat="false" ht="12.75" hidden="false" customHeight="false" outlineLevel="0" collapsed="false">
      <c r="A19" s="375" t="n">
        <v>35916</v>
      </c>
      <c r="B19" s="294" t="s">
        <v>459</v>
      </c>
      <c r="C19" s="294" t="s">
        <v>460</v>
      </c>
      <c r="D19" s="294" t="s">
        <v>460</v>
      </c>
      <c r="E19" s="493" t="n">
        <v>1175684</v>
      </c>
      <c r="F19" s="360" t="n">
        <f aca="false">E19/31</f>
        <v>37925.2903225806</v>
      </c>
      <c r="G19" s="493" t="n">
        <v>54614.35</v>
      </c>
    </row>
    <row r="20" customFormat="false" ht="12.75" hidden="false" customHeight="false" outlineLevel="0" collapsed="false">
      <c r="A20" s="375" t="n">
        <v>35947</v>
      </c>
      <c r="B20" s="294" t="s">
        <v>459</v>
      </c>
      <c r="C20" s="294" t="s">
        <v>460</v>
      </c>
      <c r="D20" s="294" t="s">
        <v>460</v>
      </c>
      <c r="E20" s="493" t="n">
        <v>1741705</v>
      </c>
      <c r="F20" s="360" t="n">
        <f aca="false">(E20/30)-79</f>
        <v>57977.8333333333</v>
      </c>
      <c r="G20" s="493" t="n">
        <f aca="false">98618.51-189.12</f>
        <v>98429.39</v>
      </c>
    </row>
    <row r="21" customFormat="false" ht="12.75" hidden="false" customHeight="false" outlineLevel="0" collapsed="false">
      <c r="A21" s="375" t="n">
        <v>35977</v>
      </c>
      <c r="B21" s="294" t="s">
        <v>459</v>
      </c>
      <c r="C21" s="294" t="s">
        <v>460</v>
      </c>
      <c r="D21" s="294" t="s">
        <v>460</v>
      </c>
      <c r="E21" s="493" t="n">
        <v>1202736</v>
      </c>
      <c r="F21" s="360" t="n">
        <f aca="false">E21/31</f>
        <v>38797.935483871</v>
      </c>
      <c r="G21" s="493" t="n">
        <v>78901.57</v>
      </c>
    </row>
    <row r="22" customFormat="false" ht="12.75" hidden="false" customHeight="false" outlineLevel="0" collapsed="false">
      <c r="A22" s="375" t="n">
        <v>36008</v>
      </c>
      <c r="B22" s="294" t="s">
        <v>459</v>
      </c>
      <c r="C22" s="294" t="s">
        <v>460</v>
      </c>
      <c r="D22" s="294" t="s">
        <v>460</v>
      </c>
      <c r="E22" s="493" t="n">
        <v>1089594</v>
      </c>
      <c r="F22" s="360" t="n">
        <f aca="false">E22/31</f>
        <v>35148.1935483871</v>
      </c>
      <c r="G22" s="493" t="n">
        <f aca="false">60451.78-943.58</f>
        <v>59508.2</v>
      </c>
    </row>
    <row r="23" customFormat="false" ht="12.75" hidden="false" customHeight="false" outlineLevel="0" collapsed="false">
      <c r="A23" s="375" t="n">
        <v>36039</v>
      </c>
      <c r="B23" s="294" t="s">
        <v>459</v>
      </c>
      <c r="C23" s="294" t="s">
        <v>460</v>
      </c>
      <c r="D23" s="294" t="s">
        <v>460</v>
      </c>
      <c r="E23" s="493" t="n">
        <v>309204</v>
      </c>
      <c r="F23" s="360" t="n">
        <f aca="false">E23/30</f>
        <v>10306.8</v>
      </c>
      <c r="G23" s="493" t="n">
        <v>25052.35</v>
      </c>
    </row>
    <row r="24" customFormat="false" ht="12.75" hidden="false" customHeight="false" outlineLevel="0" collapsed="false">
      <c r="A24" s="375" t="n">
        <v>36069</v>
      </c>
      <c r="B24" s="294" t="s">
        <v>459</v>
      </c>
      <c r="C24" s="294" t="s">
        <v>460</v>
      </c>
      <c r="D24" s="294" t="s">
        <v>460</v>
      </c>
      <c r="E24" s="493" t="n">
        <v>949236</v>
      </c>
      <c r="F24" s="360" t="n">
        <f aca="false">E24/31</f>
        <v>30620.5161290323</v>
      </c>
      <c r="G24" s="493" t="n">
        <v>24963.96</v>
      </c>
    </row>
    <row r="25" customFormat="false" ht="12.75" hidden="false" customHeight="false" outlineLevel="0" collapsed="false">
      <c r="A25" s="375" t="n">
        <v>36100</v>
      </c>
      <c r="B25" s="294" t="s">
        <v>459</v>
      </c>
      <c r="C25" s="294" t="s">
        <v>460</v>
      </c>
      <c r="D25" s="294" t="s">
        <v>460</v>
      </c>
      <c r="E25" s="493" t="n">
        <v>376804</v>
      </c>
      <c r="F25" s="360" t="n">
        <f aca="false">E25/30</f>
        <v>12560.1333333333</v>
      </c>
      <c r="G25" s="493" t="n">
        <v>9176.18</v>
      </c>
    </row>
    <row r="26" customFormat="false" ht="12.75" hidden="false" customHeight="false" outlineLevel="0" collapsed="false">
      <c r="A26" s="375" t="n">
        <v>36130</v>
      </c>
      <c r="B26" s="294" t="s">
        <v>459</v>
      </c>
      <c r="C26" s="294" t="s">
        <v>460</v>
      </c>
      <c r="D26" s="294" t="s">
        <v>460</v>
      </c>
      <c r="E26" s="493" t="n">
        <v>637046</v>
      </c>
      <c r="F26" s="360" t="n">
        <f aca="false">E26/31-89</f>
        <v>20460.8709677419</v>
      </c>
      <c r="G26" s="493" t="n">
        <f aca="false">30405.37-331.13</f>
        <v>30074.24</v>
      </c>
    </row>
    <row r="27" customFormat="false" ht="12.75" hidden="false" customHeight="false" outlineLevel="0" collapsed="false">
      <c r="A27" s="375" t="n">
        <v>36161</v>
      </c>
      <c r="B27" s="294" t="s">
        <v>459</v>
      </c>
      <c r="C27" s="294" t="s">
        <v>460</v>
      </c>
      <c r="D27" s="294" t="s">
        <v>460</v>
      </c>
      <c r="E27" s="493" t="n">
        <v>254953</v>
      </c>
      <c r="F27" s="360" t="n">
        <f aca="false">E27/31-17</f>
        <v>8207.29032258065</v>
      </c>
      <c r="G27" s="493" t="n">
        <f aca="false">18878.6-64.88</f>
        <v>18813.72</v>
      </c>
    </row>
    <row r="28" customFormat="false" ht="12.75" hidden="false" customHeight="false" outlineLevel="0" collapsed="false">
      <c r="A28" s="375" t="n">
        <v>36192</v>
      </c>
      <c r="B28" s="294" t="s">
        <v>461</v>
      </c>
      <c r="C28" s="294" t="s">
        <v>460</v>
      </c>
      <c r="D28" s="294" t="s">
        <v>460</v>
      </c>
      <c r="E28" s="294" t="n">
        <v>260</v>
      </c>
      <c r="F28" s="360" t="n">
        <f aca="false">E28/29</f>
        <v>8.96551724137931</v>
      </c>
      <c r="G28" s="294" t="n">
        <v>31.22</v>
      </c>
    </row>
    <row r="29" customFormat="false" ht="12.75" hidden="false" customHeight="false" outlineLevel="0" collapsed="false">
      <c r="A29" s="375" t="n">
        <v>36192</v>
      </c>
      <c r="B29" s="294" t="s">
        <v>459</v>
      </c>
      <c r="C29" s="294" t="s">
        <v>460</v>
      </c>
      <c r="D29" s="294" t="s">
        <v>460</v>
      </c>
      <c r="E29" s="493" t="n">
        <v>431672</v>
      </c>
      <c r="F29" s="360" t="n">
        <f aca="false">E29/29</f>
        <v>14885.2413793103</v>
      </c>
      <c r="G29" s="493" t="n">
        <v>9019.35</v>
      </c>
    </row>
    <row r="30" customFormat="false" ht="12.75" hidden="false" customHeight="false" outlineLevel="0" collapsed="false">
      <c r="A30" s="375" t="n">
        <v>36220</v>
      </c>
      <c r="B30" s="294" t="s">
        <v>459</v>
      </c>
      <c r="C30" s="294" t="s">
        <v>460</v>
      </c>
      <c r="D30" s="294" t="s">
        <v>460</v>
      </c>
      <c r="E30" s="493" t="n">
        <v>681322</v>
      </c>
      <c r="F30" s="360" t="n">
        <f aca="false">E30/31</f>
        <v>21978.1290322581</v>
      </c>
      <c r="G30" s="493" t="n">
        <v>33185.75</v>
      </c>
    </row>
    <row r="31" customFormat="false" ht="12.75" hidden="false" customHeight="false" outlineLevel="0" collapsed="false">
      <c r="A31" s="375" t="n">
        <v>36251</v>
      </c>
      <c r="B31" s="294" t="s">
        <v>459</v>
      </c>
      <c r="C31" s="294" t="s">
        <v>460</v>
      </c>
      <c r="D31" s="294" t="s">
        <v>460</v>
      </c>
      <c r="E31" s="493" t="n">
        <v>1121668</v>
      </c>
      <c r="F31" s="360" t="n">
        <f aca="false">E31/30</f>
        <v>37388.9333333333</v>
      </c>
      <c r="G31" s="493" t="n">
        <v>55536.94</v>
      </c>
    </row>
    <row r="32" customFormat="false" ht="12.75" hidden="false" customHeight="false" outlineLevel="0" collapsed="false">
      <c r="A32" s="375" t="n">
        <v>36281</v>
      </c>
      <c r="B32" s="294" t="s">
        <v>459</v>
      </c>
      <c r="C32" s="294" t="s">
        <v>460</v>
      </c>
      <c r="D32" s="294" t="s">
        <v>460</v>
      </c>
      <c r="E32" s="493" t="n">
        <v>925846</v>
      </c>
      <c r="F32" s="360" t="n">
        <f aca="false">E32/30</f>
        <v>30861.5333333333</v>
      </c>
      <c r="G32" s="493" t="n">
        <v>57556.75</v>
      </c>
    </row>
    <row r="33" customFormat="false" ht="12.75" hidden="false" customHeight="false" outlineLevel="0" collapsed="false">
      <c r="A33" s="375" t="n">
        <v>36312</v>
      </c>
      <c r="B33" s="294" t="s">
        <v>459</v>
      </c>
      <c r="C33" s="294" t="s">
        <v>460</v>
      </c>
      <c r="D33" s="294" t="s">
        <v>460</v>
      </c>
      <c r="E33" s="493" t="n">
        <v>943754</v>
      </c>
      <c r="F33" s="360" t="n">
        <f aca="false">E33/30</f>
        <v>31458.4666666667</v>
      </c>
      <c r="G33" s="493" t="n">
        <v>45146.29</v>
      </c>
    </row>
    <row r="34" customFormat="false" ht="12.75" hidden="false" customHeight="false" outlineLevel="0" collapsed="false">
      <c r="A34" s="375" t="n">
        <v>36342</v>
      </c>
      <c r="B34" s="294" t="s">
        <v>459</v>
      </c>
      <c r="C34" s="294" t="s">
        <v>460</v>
      </c>
      <c r="D34" s="294" t="s">
        <v>460</v>
      </c>
      <c r="E34" s="493" t="n">
        <v>706002</v>
      </c>
      <c r="F34" s="360" t="n">
        <f aca="false">E34/31</f>
        <v>22774.2580645161</v>
      </c>
      <c r="G34" s="493" t="n">
        <v>42595.24</v>
      </c>
    </row>
    <row r="35" customFormat="false" ht="12.75" hidden="false" customHeight="false" outlineLevel="0" collapsed="false">
      <c r="A35" s="375" t="n">
        <v>36373</v>
      </c>
      <c r="B35" s="294" t="s">
        <v>459</v>
      </c>
      <c r="C35" s="294" t="s">
        <v>460</v>
      </c>
      <c r="D35" s="294" t="s">
        <v>460</v>
      </c>
      <c r="E35" s="493" t="n">
        <v>378643</v>
      </c>
      <c r="F35" s="360" t="n">
        <f aca="false">E35/31</f>
        <v>12214.2903225806</v>
      </c>
      <c r="G35" s="493" t="n">
        <v>12217.49</v>
      </c>
    </row>
    <row r="36" customFormat="false" ht="12.75" hidden="false" customHeight="false" outlineLevel="0" collapsed="false">
      <c r="A36" s="375" t="n">
        <v>36404</v>
      </c>
      <c r="B36" s="294" t="s">
        <v>459</v>
      </c>
      <c r="C36" s="294" t="s">
        <v>460</v>
      </c>
      <c r="D36" s="294" t="s">
        <v>460</v>
      </c>
      <c r="E36" s="493" t="n">
        <v>606655</v>
      </c>
      <c r="F36" s="360" t="n">
        <f aca="false">E36/30</f>
        <v>20221.8333333333</v>
      </c>
      <c r="G36" s="493" t="n">
        <v>24263.99</v>
      </c>
    </row>
    <row r="37" customFormat="false" ht="12.75" hidden="false" customHeight="false" outlineLevel="0" collapsed="false">
      <c r="A37" s="375" t="n">
        <v>36434</v>
      </c>
      <c r="B37" s="294" t="s">
        <v>459</v>
      </c>
      <c r="C37" s="294" t="s">
        <v>460</v>
      </c>
      <c r="D37" s="294" t="s">
        <v>460</v>
      </c>
      <c r="E37" s="493" t="n">
        <v>328918</v>
      </c>
      <c r="F37" s="360" t="n">
        <f aca="false">E37/31</f>
        <v>10610.2580645161</v>
      </c>
      <c r="G37" s="493" t="n">
        <v>10247.98</v>
      </c>
    </row>
    <row r="38" customFormat="false" ht="12.75" hidden="false" customHeight="false" outlineLevel="0" collapsed="false">
      <c r="A38" s="375" t="n">
        <v>36465</v>
      </c>
      <c r="B38" s="294" t="s">
        <v>459</v>
      </c>
      <c r="C38" s="294" t="s">
        <v>460</v>
      </c>
      <c r="D38" s="294" t="s">
        <v>460</v>
      </c>
      <c r="E38" s="493" t="n">
        <v>415457</v>
      </c>
      <c r="F38" s="360" t="n">
        <f aca="false">E38/30</f>
        <v>13848.5666666667</v>
      </c>
      <c r="G38" s="493" t="n">
        <v>17738.39</v>
      </c>
    </row>
    <row r="39" customFormat="false" ht="12.75" hidden="false" customHeight="false" outlineLevel="0" collapsed="false">
      <c r="A39" s="375" t="n">
        <v>36495</v>
      </c>
      <c r="B39" s="294" t="s">
        <v>459</v>
      </c>
      <c r="C39" s="294" t="s">
        <v>460</v>
      </c>
      <c r="D39" s="294" t="s">
        <v>460</v>
      </c>
      <c r="E39" s="493" t="n">
        <v>844074</v>
      </c>
      <c r="F39" s="360" t="n">
        <f aca="false">E39/31</f>
        <v>27228.1935483871</v>
      </c>
      <c r="G39" s="493" t="n">
        <v>41462.61</v>
      </c>
    </row>
    <row r="40" customFormat="false" ht="12.75" hidden="false" customHeight="false" outlineLevel="0" collapsed="false">
      <c r="A40" s="375" t="n">
        <v>35431</v>
      </c>
      <c r="B40" s="294" t="s">
        <v>459</v>
      </c>
      <c r="C40" s="294" t="s">
        <v>462</v>
      </c>
      <c r="D40" s="294" t="s">
        <v>460</v>
      </c>
      <c r="E40" s="493" t="n">
        <v>136952</v>
      </c>
      <c r="F40" s="360" t="n">
        <f aca="false">E40/31</f>
        <v>4417.8064516129</v>
      </c>
      <c r="G40" s="493" t="n">
        <v>18785.19</v>
      </c>
    </row>
    <row r="41" customFormat="false" ht="12.75" hidden="false" customHeight="false" outlineLevel="0" collapsed="false">
      <c r="A41" s="375" t="n">
        <v>35462</v>
      </c>
      <c r="B41" s="294" t="s">
        <v>459</v>
      </c>
      <c r="C41" s="294" t="s">
        <v>462</v>
      </c>
      <c r="D41" s="294" t="s">
        <v>460</v>
      </c>
      <c r="E41" s="493" t="n">
        <v>325861</v>
      </c>
      <c r="F41" s="360" t="n">
        <f aca="false">E41/28</f>
        <v>11637.8928571429</v>
      </c>
      <c r="G41" s="493" t="n">
        <v>25498.06</v>
      </c>
    </row>
    <row r="42" customFormat="false" ht="12.75" hidden="false" customHeight="false" outlineLevel="0" collapsed="false">
      <c r="A42" s="375" t="n">
        <v>35490</v>
      </c>
      <c r="B42" s="294" t="s">
        <v>459</v>
      </c>
      <c r="C42" s="294" t="s">
        <v>462</v>
      </c>
      <c r="D42" s="294" t="s">
        <v>460</v>
      </c>
      <c r="E42" s="493" t="n">
        <v>252076</v>
      </c>
      <c r="F42" s="360" t="n">
        <f aca="false">E42/31</f>
        <v>8131.48387096774</v>
      </c>
      <c r="G42" s="493" t="n">
        <v>16626.74</v>
      </c>
    </row>
    <row r="43" customFormat="false" ht="12.75" hidden="false" customHeight="false" outlineLevel="0" collapsed="false">
      <c r="A43" s="375" t="n">
        <v>35521</v>
      </c>
      <c r="B43" s="294" t="s">
        <v>459</v>
      </c>
      <c r="C43" s="294" t="s">
        <v>462</v>
      </c>
      <c r="D43" s="294" t="s">
        <v>460</v>
      </c>
      <c r="E43" s="493" t="n">
        <v>64354</v>
      </c>
      <c r="F43" s="360" t="n">
        <f aca="false">E43/30</f>
        <v>2145.13333333333</v>
      </c>
      <c r="G43" s="493" t="n">
        <v>6084.15</v>
      </c>
    </row>
    <row r="44" customFormat="false" ht="12.75" hidden="false" customHeight="false" outlineLevel="0" collapsed="false">
      <c r="A44" s="375" t="n">
        <v>35551</v>
      </c>
      <c r="B44" s="294" t="s">
        <v>459</v>
      </c>
      <c r="C44" s="294" t="s">
        <v>462</v>
      </c>
      <c r="D44" s="294" t="s">
        <v>460</v>
      </c>
      <c r="E44" s="493" t="n">
        <v>20652</v>
      </c>
      <c r="F44" s="360" t="n">
        <f aca="false">E44/31</f>
        <v>666.193548387097</v>
      </c>
      <c r="G44" s="493" t="n">
        <v>2065.2</v>
      </c>
    </row>
    <row r="45" customFormat="false" ht="12.75" hidden="false" customHeight="false" outlineLevel="0" collapsed="false">
      <c r="A45" s="375" t="n">
        <v>35582</v>
      </c>
      <c r="B45" s="294" t="s">
        <v>459</v>
      </c>
      <c r="C45" s="294" t="s">
        <v>462</v>
      </c>
      <c r="D45" s="294" t="s">
        <v>460</v>
      </c>
      <c r="E45" s="493" t="n">
        <v>36713</v>
      </c>
      <c r="F45" s="360" t="n">
        <f aca="false">E45/30</f>
        <v>1223.76666666667</v>
      </c>
      <c r="G45" s="493" t="n">
        <v>5248.28</v>
      </c>
    </row>
    <row r="46" customFormat="false" ht="12.75" hidden="false" customHeight="false" outlineLevel="0" collapsed="false">
      <c r="A46" s="375" t="n">
        <v>35612</v>
      </c>
      <c r="B46" s="294" t="s">
        <v>459</v>
      </c>
      <c r="C46" s="294" t="s">
        <v>462</v>
      </c>
      <c r="D46" s="294" t="s">
        <v>460</v>
      </c>
      <c r="E46" s="493" t="n">
        <v>17281</v>
      </c>
      <c r="F46" s="360" t="n">
        <f aca="false">E46/31</f>
        <v>557.451612903226</v>
      </c>
      <c r="G46" s="294" t="n">
        <v>978.1</v>
      </c>
    </row>
    <row r="47" customFormat="false" ht="12.75" hidden="false" customHeight="false" outlineLevel="0" collapsed="false">
      <c r="A47" s="375" t="n">
        <v>35643</v>
      </c>
      <c r="B47" s="294" t="s">
        <v>459</v>
      </c>
      <c r="C47" s="294" t="s">
        <v>462</v>
      </c>
      <c r="D47" s="294" t="s">
        <v>460</v>
      </c>
      <c r="E47" s="493" t="n">
        <v>159067</v>
      </c>
      <c r="F47" s="360" t="n">
        <f aca="false">E47/31</f>
        <v>5131.1935483871</v>
      </c>
      <c r="G47" s="493" t="n">
        <v>30806.66</v>
      </c>
    </row>
    <row r="48" customFormat="false" ht="12.75" hidden="false" customHeight="false" outlineLevel="0" collapsed="false">
      <c r="A48" s="375" t="n">
        <v>35674</v>
      </c>
      <c r="B48" s="294" t="s">
        <v>459</v>
      </c>
      <c r="C48" s="294" t="s">
        <v>462</v>
      </c>
      <c r="D48" s="294" t="s">
        <v>460</v>
      </c>
      <c r="E48" s="493" t="n">
        <v>150580</v>
      </c>
      <c r="F48" s="360" t="n">
        <f aca="false">E48/30</f>
        <v>5019.33333333333</v>
      </c>
      <c r="G48" s="493" t="n">
        <v>15589.9</v>
      </c>
    </row>
    <row r="49" customFormat="false" ht="12.75" hidden="false" customHeight="false" outlineLevel="0" collapsed="false">
      <c r="A49" s="375" t="n">
        <v>35704</v>
      </c>
      <c r="B49" s="294" t="s">
        <v>459</v>
      </c>
      <c r="C49" s="294" t="s">
        <v>462</v>
      </c>
      <c r="D49" s="294" t="s">
        <v>460</v>
      </c>
      <c r="E49" s="493" t="n">
        <v>145033</v>
      </c>
      <c r="F49" s="360" t="n">
        <f aca="false">E49/31</f>
        <v>4678.48387096774</v>
      </c>
      <c r="G49" s="493" t="n">
        <v>10709.45</v>
      </c>
    </row>
    <row r="50" customFormat="false" ht="12.75" hidden="false" customHeight="false" outlineLevel="0" collapsed="false">
      <c r="A50" s="375" t="n">
        <v>35735</v>
      </c>
      <c r="B50" s="294" t="s">
        <v>459</v>
      </c>
      <c r="C50" s="294" t="s">
        <v>462</v>
      </c>
      <c r="D50" s="294" t="s">
        <v>460</v>
      </c>
      <c r="E50" s="493" t="n">
        <v>194440</v>
      </c>
      <c r="F50" s="360" t="n">
        <f aca="false">E50/30</f>
        <v>6481.33333333333</v>
      </c>
      <c r="G50" s="493" t="n">
        <v>19636.92</v>
      </c>
    </row>
    <row r="51" customFormat="false" ht="12.75" hidden="false" customHeight="false" outlineLevel="0" collapsed="false">
      <c r="A51" s="375" t="n">
        <v>35765</v>
      </c>
      <c r="B51" s="294" t="s">
        <v>459</v>
      </c>
      <c r="C51" s="294" t="s">
        <v>462</v>
      </c>
      <c r="D51" s="294" t="s">
        <v>460</v>
      </c>
      <c r="E51" s="493" t="n">
        <v>62540</v>
      </c>
      <c r="F51" s="360" t="n">
        <f aca="false">E51/31</f>
        <v>2017.41935483871</v>
      </c>
      <c r="G51" s="493" t="n">
        <v>5682.19</v>
      </c>
    </row>
    <row r="52" customFormat="false" ht="12.75" hidden="false" customHeight="false" outlineLevel="0" collapsed="false">
      <c r="A52" s="375" t="n">
        <v>35796</v>
      </c>
      <c r="B52" s="294" t="s">
        <v>459</v>
      </c>
      <c r="C52" s="294" t="s">
        <v>462</v>
      </c>
      <c r="D52" s="294" t="s">
        <v>460</v>
      </c>
      <c r="E52" s="493" t="n">
        <v>100208</v>
      </c>
      <c r="F52" s="360" t="n">
        <f aca="false">E52/31</f>
        <v>3232.51612903226</v>
      </c>
      <c r="G52" s="493" t="n">
        <v>5010.4</v>
      </c>
    </row>
    <row r="53" customFormat="false" ht="12.75" hidden="false" customHeight="false" outlineLevel="0" collapsed="false">
      <c r="A53" s="375" t="n">
        <v>35827</v>
      </c>
      <c r="B53" s="294" t="s">
        <v>459</v>
      </c>
      <c r="C53" s="294" t="s">
        <v>462</v>
      </c>
      <c r="D53" s="294" t="s">
        <v>460</v>
      </c>
      <c r="E53" s="493" t="n">
        <v>43321</v>
      </c>
      <c r="F53" s="360" t="n">
        <f aca="false">E53/28</f>
        <v>1547.17857142857</v>
      </c>
      <c r="G53" s="493" t="n">
        <v>2166.05</v>
      </c>
    </row>
    <row r="54" customFormat="false" ht="12.75" hidden="false" customHeight="false" outlineLevel="0" collapsed="false">
      <c r="A54" s="375" t="n">
        <v>35855</v>
      </c>
      <c r="B54" s="294" t="s">
        <v>461</v>
      </c>
      <c r="C54" s="294" t="s">
        <v>462</v>
      </c>
      <c r="D54" s="294" t="s">
        <v>460</v>
      </c>
      <c r="E54" s="493" t="n">
        <v>5000</v>
      </c>
      <c r="F54" s="360" t="n">
        <f aca="false">E54/31</f>
        <v>161.290322580645</v>
      </c>
      <c r="G54" s="294" t="n">
        <v>400</v>
      </c>
    </row>
    <row r="55" customFormat="false" ht="12.75" hidden="false" customHeight="false" outlineLevel="0" collapsed="false">
      <c r="A55" s="375" t="n">
        <v>35855</v>
      </c>
      <c r="B55" s="294" t="s">
        <v>459</v>
      </c>
      <c r="C55" s="294" t="s">
        <v>462</v>
      </c>
      <c r="D55" s="294" t="s">
        <v>460</v>
      </c>
      <c r="E55" s="493" t="n">
        <v>46122</v>
      </c>
      <c r="F55" s="360" t="n">
        <f aca="false">E55/31</f>
        <v>1487.8064516129</v>
      </c>
      <c r="G55" s="493" t="n">
        <v>2306.1</v>
      </c>
    </row>
    <row r="56" customFormat="false" ht="12.75" hidden="false" customHeight="false" outlineLevel="0" collapsed="false">
      <c r="A56" s="375" t="n">
        <v>35886</v>
      </c>
      <c r="B56" s="294" t="s">
        <v>459</v>
      </c>
      <c r="C56" s="294" t="s">
        <v>462</v>
      </c>
      <c r="D56" s="294" t="s">
        <v>460</v>
      </c>
      <c r="E56" s="493" t="n">
        <v>128834</v>
      </c>
      <c r="F56" s="360" t="n">
        <f aca="false">E56/30</f>
        <v>4294.46666666667</v>
      </c>
      <c r="G56" s="493" t="n">
        <v>11129.06</v>
      </c>
    </row>
    <row r="57" customFormat="false" ht="12.75" hidden="false" customHeight="false" outlineLevel="0" collapsed="false">
      <c r="A57" s="375" t="n">
        <v>35916</v>
      </c>
      <c r="B57" s="294" t="s">
        <v>459</v>
      </c>
      <c r="C57" s="294" t="s">
        <v>462</v>
      </c>
      <c r="D57" s="294" t="s">
        <v>460</v>
      </c>
      <c r="E57" s="493" t="n">
        <v>53128</v>
      </c>
      <c r="F57" s="360" t="n">
        <f aca="false">E57/31</f>
        <v>1713.8064516129</v>
      </c>
      <c r="G57" s="493" t="n">
        <v>3408.84</v>
      </c>
    </row>
    <row r="58" customFormat="false" ht="12.75" hidden="false" customHeight="false" outlineLevel="0" collapsed="false">
      <c r="A58" s="375" t="n">
        <v>35947</v>
      </c>
      <c r="B58" s="294" t="s">
        <v>459</v>
      </c>
      <c r="C58" s="294" t="s">
        <v>462</v>
      </c>
      <c r="D58" s="294" t="s">
        <v>460</v>
      </c>
      <c r="E58" s="493" t="n">
        <v>90013</v>
      </c>
      <c r="F58" s="360" t="n">
        <f aca="false">E58/30</f>
        <v>3000.43333333333</v>
      </c>
      <c r="G58" s="493" t="n">
        <v>6616.7</v>
      </c>
    </row>
    <row r="59" customFormat="false" ht="12.75" hidden="false" customHeight="false" outlineLevel="0" collapsed="false">
      <c r="A59" s="375" t="n">
        <v>35977</v>
      </c>
      <c r="B59" s="294" t="s">
        <v>459</v>
      </c>
      <c r="C59" s="294" t="s">
        <v>462</v>
      </c>
      <c r="D59" s="294" t="s">
        <v>460</v>
      </c>
      <c r="E59" s="493" t="n">
        <v>37620</v>
      </c>
      <c r="F59" s="360" t="n">
        <f aca="false">E59/31</f>
        <v>1213.54838709677</v>
      </c>
      <c r="G59" s="493" t="n">
        <v>1912</v>
      </c>
    </row>
    <row r="60" customFormat="false" ht="12.75" hidden="false" customHeight="false" outlineLevel="0" collapsed="false">
      <c r="A60" s="375" t="n">
        <v>36008</v>
      </c>
      <c r="B60" s="294" t="s">
        <v>459</v>
      </c>
      <c r="C60" s="294" t="s">
        <v>462</v>
      </c>
      <c r="D60" s="294" t="s">
        <v>460</v>
      </c>
      <c r="E60" s="493" t="n">
        <v>174808</v>
      </c>
      <c r="F60" s="360" t="n">
        <f aca="false">E60/31</f>
        <v>5638.96774193548</v>
      </c>
      <c r="G60" s="493" t="n">
        <v>11944.97</v>
      </c>
    </row>
    <row r="61" customFormat="false" ht="12.75" hidden="false" customHeight="false" outlineLevel="0" collapsed="false">
      <c r="A61" s="375" t="n">
        <v>36039</v>
      </c>
      <c r="B61" s="294" t="s">
        <v>459</v>
      </c>
      <c r="C61" s="294" t="s">
        <v>462</v>
      </c>
      <c r="D61" s="294" t="s">
        <v>460</v>
      </c>
      <c r="E61" s="493" t="n">
        <v>113996</v>
      </c>
      <c r="F61" s="360" t="n">
        <f aca="false">E61/30</f>
        <v>3799.86666666667</v>
      </c>
      <c r="G61" s="493" t="n">
        <v>7729.94</v>
      </c>
    </row>
    <row r="62" customFormat="false" ht="12.75" hidden="false" customHeight="false" outlineLevel="0" collapsed="false">
      <c r="A62" s="375" t="n">
        <v>36069</v>
      </c>
      <c r="B62" s="294" t="s">
        <v>459</v>
      </c>
      <c r="C62" s="294" t="s">
        <v>462</v>
      </c>
      <c r="D62" s="294" t="s">
        <v>460</v>
      </c>
      <c r="E62" s="493" t="n">
        <v>20001</v>
      </c>
      <c r="F62" s="360" t="n">
        <f aca="false">E62/31</f>
        <v>645.193548387097</v>
      </c>
      <c r="G62" s="493" t="n">
        <v>2000.1</v>
      </c>
    </row>
    <row r="63" customFormat="false" ht="12.75" hidden="false" customHeight="false" outlineLevel="0" collapsed="false">
      <c r="A63" s="375" t="n">
        <v>36100</v>
      </c>
      <c r="B63" s="294" t="s">
        <v>459</v>
      </c>
      <c r="C63" s="294" t="s">
        <v>462</v>
      </c>
      <c r="D63" s="294" t="s">
        <v>460</v>
      </c>
      <c r="E63" s="493" t="n">
        <v>11707</v>
      </c>
      <c r="F63" s="360" t="n">
        <f aca="false">E63/30</f>
        <v>390.233333333333</v>
      </c>
      <c r="G63" s="294" t="n">
        <v>997.04</v>
      </c>
    </row>
    <row r="64" customFormat="false" ht="12.75" hidden="false" customHeight="false" outlineLevel="0" collapsed="false">
      <c r="A64" s="375" t="n">
        <v>36161</v>
      </c>
      <c r="B64" s="294" t="s">
        <v>459</v>
      </c>
      <c r="C64" s="294" t="s">
        <v>462</v>
      </c>
      <c r="D64" s="294" t="s">
        <v>460</v>
      </c>
      <c r="E64" s="493" t="n">
        <v>24913</v>
      </c>
      <c r="F64" s="360" t="n">
        <f aca="false">E64/31</f>
        <v>803.645161290323</v>
      </c>
      <c r="G64" s="493" t="n">
        <v>1343.91</v>
      </c>
    </row>
    <row r="65" customFormat="false" ht="12.75" hidden="false" customHeight="false" outlineLevel="0" collapsed="false">
      <c r="A65" s="375" t="n">
        <v>36192</v>
      </c>
      <c r="B65" s="294" t="s">
        <v>459</v>
      </c>
      <c r="C65" s="294" t="s">
        <v>462</v>
      </c>
      <c r="D65" s="294" t="s">
        <v>460</v>
      </c>
      <c r="E65" s="493" t="n">
        <v>206450</v>
      </c>
      <c r="F65" s="360" t="n">
        <f aca="false">E65/29</f>
        <v>7118.96551724138</v>
      </c>
      <c r="G65" s="493" t="n">
        <v>19574.18</v>
      </c>
    </row>
    <row r="66" customFormat="false" ht="12.75" hidden="false" customHeight="false" outlineLevel="0" collapsed="false">
      <c r="A66" s="375" t="n">
        <v>36220</v>
      </c>
      <c r="B66" s="294" t="s">
        <v>459</v>
      </c>
      <c r="C66" s="294" t="s">
        <v>462</v>
      </c>
      <c r="D66" s="294" t="s">
        <v>460</v>
      </c>
      <c r="E66" s="493" t="n">
        <v>81342</v>
      </c>
      <c r="F66" s="360" t="n">
        <f aca="false">E66/31</f>
        <v>2623.93548387097</v>
      </c>
      <c r="G66" s="493" t="n">
        <v>6267.36</v>
      </c>
    </row>
    <row r="67" customFormat="false" ht="12.75" hidden="false" customHeight="false" outlineLevel="0" collapsed="false">
      <c r="A67" s="375" t="n">
        <v>36251</v>
      </c>
      <c r="B67" s="294" t="s">
        <v>459</v>
      </c>
      <c r="C67" s="294" t="s">
        <v>462</v>
      </c>
      <c r="D67" s="294" t="s">
        <v>460</v>
      </c>
      <c r="E67" s="493" t="n">
        <v>9071</v>
      </c>
      <c r="F67" s="360" t="n">
        <f aca="false">E67/30</f>
        <v>302.366666666667</v>
      </c>
      <c r="G67" s="493" t="n">
        <v>1341.14</v>
      </c>
    </row>
    <row r="68" customFormat="false" ht="12.75" hidden="false" customHeight="false" outlineLevel="0" collapsed="false">
      <c r="A68" s="375" t="n">
        <v>36312</v>
      </c>
      <c r="B68" s="294" t="s">
        <v>459</v>
      </c>
      <c r="C68" s="294" t="s">
        <v>462</v>
      </c>
      <c r="D68" s="294" t="s">
        <v>460</v>
      </c>
      <c r="E68" s="493" t="n">
        <v>45540</v>
      </c>
      <c r="F68" s="360" t="n">
        <f aca="false">E68/30</f>
        <v>1518</v>
      </c>
      <c r="G68" s="493" t="n">
        <v>5807.83</v>
      </c>
    </row>
    <row r="69" customFormat="false" ht="12.75" hidden="false" customHeight="false" outlineLevel="0" collapsed="false">
      <c r="A69" s="375" t="n">
        <v>36465</v>
      </c>
      <c r="B69" s="294" t="s">
        <v>459</v>
      </c>
      <c r="C69" s="294" t="s">
        <v>462</v>
      </c>
      <c r="D69" s="294" t="s">
        <v>460</v>
      </c>
      <c r="E69" s="493" t="n">
        <v>127882</v>
      </c>
      <c r="F69" s="360" t="n">
        <f aca="false">E69/30</f>
        <v>4262.73333333333</v>
      </c>
      <c r="G69" s="493" t="n">
        <v>6394.1</v>
      </c>
    </row>
    <row r="70" customFormat="false" ht="12.75" hidden="false" customHeight="false" outlineLevel="0" collapsed="false">
      <c r="A70" s="375" t="n">
        <v>36495</v>
      </c>
      <c r="B70" s="294" t="s">
        <v>459</v>
      </c>
      <c r="C70" s="294" t="s">
        <v>462</v>
      </c>
      <c r="D70" s="294" t="s">
        <v>460</v>
      </c>
      <c r="E70" s="493" t="n">
        <v>218367</v>
      </c>
      <c r="F70" s="360" t="n">
        <f aca="false">E70/31</f>
        <v>7044.09677419355</v>
      </c>
      <c r="G70" s="493" t="n">
        <v>10918.35</v>
      </c>
    </row>
    <row r="71" customFormat="false" ht="12.75" hidden="false" customHeight="false" outlineLevel="0" collapsed="false">
      <c r="A71" s="375" t="n">
        <v>35431</v>
      </c>
      <c r="B71" s="294" t="s">
        <v>459</v>
      </c>
      <c r="C71" s="294" t="s">
        <v>463</v>
      </c>
      <c r="D71" s="294" t="s">
        <v>460</v>
      </c>
      <c r="E71" s="493" t="n">
        <v>3999</v>
      </c>
      <c r="F71" s="360" t="n">
        <f aca="false">E71/31</f>
        <v>129</v>
      </c>
      <c r="G71" s="294" t="n">
        <v>279.93</v>
      </c>
    </row>
    <row r="72" customFormat="false" ht="12.75" hidden="false" customHeight="false" outlineLevel="0" collapsed="false">
      <c r="A72" s="375" t="n">
        <v>35521</v>
      </c>
      <c r="B72" s="294" t="s">
        <v>459</v>
      </c>
      <c r="C72" s="294" t="s">
        <v>463</v>
      </c>
      <c r="D72" s="294" t="s">
        <v>460</v>
      </c>
      <c r="E72" s="493" t="n">
        <v>29618</v>
      </c>
      <c r="F72" s="360" t="n">
        <f aca="false">E72/30</f>
        <v>987.266666666667</v>
      </c>
      <c r="G72" s="493" t="n">
        <v>2961.8</v>
      </c>
    </row>
    <row r="73" customFormat="false" ht="12.75" hidden="false" customHeight="false" outlineLevel="0" collapsed="false">
      <c r="A73" s="375" t="n">
        <v>35551</v>
      </c>
      <c r="B73" s="294" t="s">
        <v>459</v>
      </c>
      <c r="C73" s="294" t="s">
        <v>463</v>
      </c>
      <c r="D73" s="294" t="s">
        <v>460</v>
      </c>
      <c r="E73" s="493" t="n">
        <v>90000</v>
      </c>
      <c r="F73" s="360" t="n">
        <f aca="false">E73/31</f>
        <v>2903.22580645161</v>
      </c>
      <c r="G73" s="493" t="n">
        <v>9000</v>
      </c>
    </row>
    <row r="74" customFormat="false" ht="12.75" hidden="false" customHeight="false" outlineLevel="0" collapsed="false">
      <c r="A74" s="375" t="n">
        <v>35765</v>
      </c>
      <c r="B74" s="294" t="s">
        <v>459</v>
      </c>
      <c r="C74" s="294" t="s">
        <v>463</v>
      </c>
      <c r="D74" s="294" t="s">
        <v>460</v>
      </c>
      <c r="E74" s="493" t="n">
        <v>31976</v>
      </c>
      <c r="F74" s="360" t="n">
        <f aca="false">E74/31</f>
        <v>1031.48387096774</v>
      </c>
      <c r="G74" s="493" t="n">
        <v>2558.08</v>
      </c>
    </row>
    <row r="75" customFormat="false" ht="12.75" hidden="false" customHeight="false" outlineLevel="0" collapsed="false">
      <c r="A75" s="375" t="n">
        <v>35796</v>
      </c>
      <c r="B75" s="294" t="s">
        <v>459</v>
      </c>
      <c r="C75" s="294" t="s">
        <v>463</v>
      </c>
      <c r="D75" s="294" t="s">
        <v>460</v>
      </c>
      <c r="E75" s="493" t="n">
        <v>2644</v>
      </c>
      <c r="F75" s="360" t="n">
        <f aca="false">E75/31</f>
        <v>85.2903225806452</v>
      </c>
      <c r="G75" s="294" t="n">
        <v>211.52</v>
      </c>
    </row>
    <row r="76" customFormat="false" ht="12.75" hidden="false" customHeight="false" outlineLevel="0" collapsed="false">
      <c r="A76" s="375" t="n">
        <v>35855</v>
      </c>
      <c r="B76" s="294" t="s">
        <v>459</v>
      </c>
      <c r="C76" s="294" t="s">
        <v>463</v>
      </c>
      <c r="D76" s="294" t="s">
        <v>460</v>
      </c>
      <c r="E76" s="493" t="n">
        <v>32334</v>
      </c>
      <c r="F76" s="360" t="n">
        <f aca="false">E76/31</f>
        <v>1043.03225806452</v>
      </c>
      <c r="G76" s="493" t="n">
        <v>2586.72</v>
      </c>
    </row>
    <row r="77" customFormat="false" ht="12.75" hidden="false" customHeight="false" outlineLevel="0" collapsed="false">
      <c r="A77" s="375" t="n">
        <v>35886</v>
      </c>
      <c r="B77" s="294" t="s">
        <v>459</v>
      </c>
      <c r="C77" s="294" t="s">
        <v>463</v>
      </c>
      <c r="D77" s="294" t="s">
        <v>460</v>
      </c>
      <c r="E77" s="493" t="n">
        <v>69124</v>
      </c>
      <c r="F77" s="360" t="n">
        <f aca="false">E77/30</f>
        <v>2304.13333333333</v>
      </c>
      <c r="G77" s="493" t="n">
        <v>4147.44</v>
      </c>
    </row>
    <row r="78" customFormat="false" ht="12.75" hidden="false" customHeight="false" outlineLevel="0" collapsed="false">
      <c r="A78" s="375" t="n">
        <v>35916</v>
      </c>
      <c r="B78" s="294" t="s">
        <v>459</v>
      </c>
      <c r="C78" s="294" t="s">
        <v>463</v>
      </c>
      <c r="D78" s="294" t="s">
        <v>460</v>
      </c>
      <c r="E78" s="493" t="n">
        <v>339762</v>
      </c>
      <c r="F78" s="360" t="n">
        <f aca="false">E78/31</f>
        <v>10960.064516129</v>
      </c>
      <c r="G78" s="493" t="n">
        <v>20385.72</v>
      </c>
    </row>
    <row r="79" customFormat="false" ht="12.75" hidden="false" customHeight="false" outlineLevel="0" collapsed="false">
      <c r="A79" s="375" t="n">
        <v>35947</v>
      </c>
      <c r="B79" s="294" t="s">
        <v>459</v>
      </c>
      <c r="C79" s="294" t="s">
        <v>463</v>
      </c>
      <c r="D79" s="294" t="s">
        <v>460</v>
      </c>
      <c r="E79" s="493" t="n">
        <v>464112</v>
      </c>
      <c r="F79" s="360" t="n">
        <f aca="false">E79/30</f>
        <v>15470.4</v>
      </c>
      <c r="G79" s="493" t="n">
        <v>27653.19</v>
      </c>
    </row>
    <row r="80" customFormat="false" ht="12.75" hidden="false" customHeight="false" outlineLevel="0" collapsed="false">
      <c r="A80" s="375" t="n">
        <v>35977</v>
      </c>
      <c r="B80" s="294" t="s">
        <v>459</v>
      </c>
      <c r="C80" s="294" t="s">
        <v>463</v>
      </c>
      <c r="D80" s="294" t="s">
        <v>460</v>
      </c>
      <c r="E80" s="493" t="n">
        <v>341480</v>
      </c>
      <c r="F80" s="360" t="n">
        <f aca="false">E80/31</f>
        <v>11015.4838709677</v>
      </c>
      <c r="G80" s="493" t="n">
        <v>34148</v>
      </c>
    </row>
    <row r="81" customFormat="false" ht="12.75" hidden="false" customHeight="false" outlineLevel="0" collapsed="false">
      <c r="A81" s="375" t="n">
        <v>36008</v>
      </c>
      <c r="B81" s="294" t="s">
        <v>459</v>
      </c>
      <c r="C81" s="294" t="s">
        <v>463</v>
      </c>
      <c r="D81" s="294" t="s">
        <v>460</v>
      </c>
      <c r="E81" s="493" t="n">
        <v>142443</v>
      </c>
      <c r="F81" s="360" t="n">
        <f aca="false">E81/31</f>
        <v>4594.93548387097</v>
      </c>
      <c r="G81" s="493" t="n">
        <v>8546.58</v>
      </c>
    </row>
    <row r="82" customFormat="false" ht="12.75" hidden="false" customHeight="false" outlineLevel="0" collapsed="false">
      <c r="A82" s="375" t="n">
        <v>36039</v>
      </c>
      <c r="B82" s="294" t="s">
        <v>459</v>
      </c>
      <c r="C82" s="294" t="s">
        <v>463</v>
      </c>
      <c r="D82" s="294" t="s">
        <v>460</v>
      </c>
      <c r="E82" s="493" t="n">
        <v>255784</v>
      </c>
      <c r="F82" s="360" t="n">
        <f aca="false">E82/30</f>
        <v>8526.13333333333</v>
      </c>
      <c r="G82" s="493" t="n">
        <v>15347.04</v>
      </c>
    </row>
    <row r="83" customFormat="false" ht="12.75" hidden="false" customHeight="false" outlineLevel="0" collapsed="false">
      <c r="A83" s="375" t="n">
        <v>36069</v>
      </c>
      <c r="B83" s="294" t="s">
        <v>459</v>
      </c>
      <c r="C83" s="294" t="s">
        <v>463</v>
      </c>
      <c r="D83" s="294" t="s">
        <v>460</v>
      </c>
      <c r="E83" s="493" t="n">
        <v>216493</v>
      </c>
      <c r="F83" s="360" t="n">
        <f aca="false">E83/31</f>
        <v>6983.64516129032</v>
      </c>
      <c r="G83" s="493" t="n">
        <v>16935.97</v>
      </c>
    </row>
    <row r="84" customFormat="false" ht="12.75" hidden="false" customHeight="false" outlineLevel="0" collapsed="false">
      <c r="A84" s="375" t="n">
        <v>36100</v>
      </c>
      <c r="B84" s="294" t="s">
        <v>459</v>
      </c>
      <c r="C84" s="294" t="s">
        <v>463</v>
      </c>
      <c r="D84" s="294" t="s">
        <v>460</v>
      </c>
      <c r="E84" s="493" t="n">
        <v>61124</v>
      </c>
      <c r="F84" s="360" t="n">
        <f aca="false">E84/30</f>
        <v>2037.46666666667</v>
      </c>
      <c r="G84" s="493" t="n">
        <v>3372.91</v>
      </c>
    </row>
    <row r="85" customFormat="false" ht="12.75" hidden="false" customHeight="false" outlineLevel="0" collapsed="false">
      <c r="A85" s="375" t="n">
        <v>36130</v>
      </c>
      <c r="B85" s="294" t="s">
        <v>459</v>
      </c>
      <c r="C85" s="294" t="s">
        <v>463</v>
      </c>
      <c r="D85" s="294" t="s">
        <v>460</v>
      </c>
      <c r="E85" s="493" t="n">
        <v>109698</v>
      </c>
      <c r="F85" s="360" t="n">
        <f aca="false">E85/31</f>
        <v>3538.64516129032</v>
      </c>
      <c r="G85" s="493" t="n">
        <v>6444.3</v>
      </c>
    </row>
    <row r="86" customFormat="false" ht="12.75" hidden="false" customHeight="false" outlineLevel="0" collapsed="false">
      <c r="A86" s="375" t="n">
        <v>36161</v>
      </c>
      <c r="B86" s="294" t="s">
        <v>459</v>
      </c>
      <c r="C86" s="294" t="s">
        <v>463</v>
      </c>
      <c r="D86" s="294" t="s">
        <v>460</v>
      </c>
      <c r="E86" s="493" t="n">
        <v>103626</v>
      </c>
      <c r="F86" s="360" t="n">
        <f aca="false">E86/31</f>
        <v>3342.77419354839</v>
      </c>
      <c r="G86" s="493" t="n">
        <v>5181.3</v>
      </c>
    </row>
    <row r="87" customFormat="false" ht="12.75" hidden="false" customHeight="false" outlineLevel="0" collapsed="false">
      <c r="A87" s="375" t="n">
        <v>36220</v>
      </c>
      <c r="B87" s="294" t="s">
        <v>459</v>
      </c>
      <c r="C87" s="294" t="s">
        <v>463</v>
      </c>
      <c r="D87" s="294" t="s">
        <v>460</v>
      </c>
      <c r="E87" s="493" t="n">
        <v>111009</v>
      </c>
      <c r="F87" s="360" t="n">
        <f aca="false">E87/31</f>
        <v>3580.93548387097</v>
      </c>
      <c r="G87" s="493" t="n">
        <v>5711.76</v>
      </c>
    </row>
    <row r="88" customFormat="false" ht="12.75" hidden="false" customHeight="false" outlineLevel="0" collapsed="false">
      <c r="A88" s="375" t="n">
        <v>36251</v>
      </c>
      <c r="B88" s="294" t="s">
        <v>459</v>
      </c>
      <c r="C88" s="294" t="s">
        <v>463</v>
      </c>
      <c r="D88" s="294" t="s">
        <v>460</v>
      </c>
      <c r="E88" s="493" t="n">
        <v>24306</v>
      </c>
      <c r="F88" s="360" t="n">
        <f aca="false">E88/30</f>
        <v>810.2</v>
      </c>
      <c r="G88" s="493" t="n">
        <v>1944.48</v>
      </c>
    </row>
    <row r="89" customFormat="false" ht="12.75" hidden="false" customHeight="false" outlineLevel="0" collapsed="false">
      <c r="A89" s="375" t="n">
        <v>36281</v>
      </c>
      <c r="B89" s="294" t="s">
        <v>459</v>
      </c>
      <c r="C89" s="294" t="s">
        <v>463</v>
      </c>
      <c r="D89" s="294" t="s">
        <v>460</v>
      </c>
      <c r="E89" s="493" t="n">
        <v>111582</v>
      </c>
      <c r="F89" s="360" t="n">
        <f aca="false">E89/31</f>
        <v>3599.41935483871</v>
      </c>
      <c r="G89" s="493" t="n">
        <v>8926.56</v>
      </c>
    </row>
    <row r="90" customFormat="false" ht="12.75" hidden="false" customHeight="false" outlineLevel="0" collapsed="false">
      <c r="A90" s="375" t="n">
        <v>36312</v>
      </c>
      <c r="B90" s="294" t="s">
        <v>459</v>
      </c>
      <c r="C90" s="294" t="s">
        <v>463</v>
      </c>
      <c r="D90" s="294" t="s">
        <v>460</v>
      </c>
      <c r="E90" s="493" t="n">
        <v>213181</v>
      </c>
      <c r="F90" s="360" t="n">
        <f aca="false">E90/30</f>
        <v>7106.03333333333</v>
      </c>
      <c r="G90" s="493" t="n">
        <v>16226.66</v>
      </c>
    </row>
    <row r="91" customFormat="false" ht="12.75" hidden="false" customHeight="false" outlineLevel="0" collapsed="false">
      <c r="A91" s="375" t="n">
        <v>36342</v>
      </c>
      <c r="B91" s="294" t="s">
        <v>461</v>
      </c>
      <c r="C91" s="294" t="s">
        <v>463</v>
      </c>
      <c r="D91" s="294" t="s">
        <v>460</v>
      </c>
      <c r="E91" s="294" t="n">
        <v>0</v>
      </c>
      <c r="F91" s="360" t="n">
        <f aca="false">E91/31</f>
        <v>0</v>
      </c>
      <c r="G91" s="493" t="n">
        <v>-5381.49</v>
      </c>
    </row>
    <row r="92" customFormat="false" ht="12.75" hidden="false" customHeight="false" outlineLevel="0" collapsed="false">
      <c r="A92" s="375" t="n">
        <v>36342</v>
      </c>
      <c r="B92" s="294" t="s">
        <v>459</v>
      </c>
      <c r="C92" s="294" t="s">
        <v>463</v>
      </c>
      <c r="D92" s="294" t="s">
        <v>460</v>
      </c>
      <c r="E92" s="493" t="n">
        <v>296070</v>
      </c>
      <c r="F92" s="360" t="n">
        <f aca="false">E92/31</f>
        <v>9550.64516129032</v>
      </c>
      <c r="G92" s="493" t="n">
        <v>23685.6</v>
      </c>
    </row>
    <row r="93" customFormat="false" ht="12.75" hidden="false" customHeight="false" outlineLevel="0" collapsed="false">
      <c r="A93" s="375" t="n">
        <v>36373</v>
      </c>
      <c r="B93" s="294" t="s">
        <v>459</v>
      </c>
      <c r="C93" s="294" t="s">
        <v>463</v>
      </c>
      <c r="D93" s="294" t="s">
        <v>460</v>
      </c>
      <c r="E93" s="493" t="n">
        <v>380412</v>
      </c>
      <c r="F93" s="360" t="n">
        <f aca="false">E93/31</f>
        <v>12271.3548387097</v>
      </c>
      <c r="G93" s="493" t="n">
        <v>19782.12</v>
      </c>
    </row>
    <row r="94" customFormat="false" ht="12.75" hidden="false" customHeight="false" outlineLevel="0" collapsed="false">
      <c r="A94" s="375" t="n">
        <v>36404</v>
      </c>
      <c r="B94" s="294" t="s">
        <v>459</v>
      </c>
      <c r="C94" s="294" t="s">
        <v>463</v>
      </c>
      <c r="D94" s="294" t="s">
        <v>460</v>
      </c>
      <c r="E94" s="493" t="n">
        <v>58000</v>
      </c>
      <c r="F94" s="360" t="n">
        <f aca="false">E94/30</f>
        <v>1933.33333333333</v>
      </c>
      <c r="G94" s="493" t="n">
        <v>2900</v>
      </c>
    </row>
    <row r="95" customFormat="false" ht="12.75" hidden="false" customHeight="false" outlineLevel="0" collapsed="false">
      <c r="A95" s="375" t="n">
        <v>35431</v>
      </c>
      <c r="B95" s="294" t="s">
        <v>459</v>
      </c>
      <c r="C95" s="294" t="s">
        <v>464</v>
      </c>
      <c r="D95" s="294" t="s">
        <v>460</v>
      </c>
      <c r="E95" s="493" t="n">
        <v>146591</v>
      </c>
      <c r="F95" s="360" t="n">
        <f aca="false">E95/31</f>
        <v>4728.74193548387</v>
      </c>
      <c r="G95" s="493" t="n">
        <v>8476.66</v>
      </c>
    </row>
    <row r="96" customFormat="false" ht="12.75" hidden="false" customHeight="false" outlineLevel="0" collapsed="false">
      <c r="A96" s="375" t="n">
        <v>35462</v>
      </c>
      <c r="B96" s="294" t="s">
        <v>459</v>
      </c>
      <c r="C96" s="294" t="s">
        <v>464</v>
      </c>
      <c r="D96" s="294" t="s">
        <v>460</v>
      </c>
      <c r="E96" s="493" t="n">
        <v>60025</v>
      </c>
      <c r="F96" s="360" t="n">
        <f aca="false">E96/28</f>
        <v>2143.75</v>
      </c>
      <c r="G96" s="493" t="n">
        <v>6002.5</v>
      </c>
    </row>
    <row r="97" customFormat="false" ht="12.75" hidden="false" customHeight="false" outlineLevel="0" collapsed="false">
      <c r="A97" s="375" t="n">
        <v>35490</v>
      </c>
      <c r="B97" s="294" t="s">
        <v>459</v>
      </c>
      <c r="C97" s="294" t="s">
        <v>464</v>
      </c>
      <c r="D97" s="294" t="s">
        <v>460</v>
      </c>
      <c r="E97" s="493" t="n">
        <v>10000</v>
      </c>
      <c r="F97" s="360" t="n">
        <f aca="false">E97/31</f>
        <v>322.58064516129</v>
      </c>
      <c r="G97" s="493" t="n">
        <v>1000</v>
      </c>
    </row>
    <row r="98" customFormat="false" ht="12.75" hidden="false" customHeight="false" outlineLevel="0" collapsed="false">
      <c r="A98" s="375" t="n">
        <v>35521</v>
      </c>
      <c r="B98" s="294" t="s">
        <v>459</v>
      </c>
      <c r="C98" s="294" t="s">
        <v>464</v>
      </c>
      <c r="D98" s="294" t="s">
        <v>460</v>
      </c>
      <c r="E98" s="493" t="n">
        <v>89605</v>
      </c>
      <c r="F98" s="360" t="n">
        <f aca="false">E98/30</f>
        <v>2986.83333333333</v>
      </c>
      <c r="G98" s="493" t="n">
        <v>10160.46</v>
      </c>
    </row>
    <row r="99" customFormat="false" ht="12.75" hidden="false" customHeight="false" outlineLevel="0" collapsed="false">
      <c r="A99" s="375" t="n">
        <v>35582</v>
      </c>
      <c r="B99" s="294" t="s">
        <v>459</v>
      </c>
      <c r="C99" s="294" t="s">
        <v>464</v>
      </c>
      <c r="D99" s="294" t="s">
        <v>460</v>
      </c>
      <c r="E99" s="493" t="n">
        <v>91904</v>
      </c>
      <c r="F99" s="360" t="n">
        <f aca="false">E99/30</f>
        <v>3063.46666666667</v>
      </c>
      <c r="G99" s="493" t="n">
        <v>3676.16</v>
      </c>
    </row>
    <row r="100" customFormat="false" ht="12.75" hidden="false" customHeight="false" outlineLevel="0" collapsed="false">
      <c r="A100" s="375" t="n">
        <v>35612</v>
      </c>
      <c r="B100" s="294" t="s">
        <v>459</v>
      </c>
      <c r="C100" s="294" t="s">
        <v>464</v>
      </c>
      <c r="D100" s="294" t="s">
        <v>460</v>
      </c>
      <c r="E100" s="294" t="n">
        <v>0</v>
      </c>
      <c r="F100" s="360" t="n">
        <f aca="false">E100/31</f>
        <v>0</v>
      </c>
      <c r="G100" s="294" t="n">
        <v>0</v>
      </c>
    </row>
    <row r="101" customFormat="false" ht="12.75" hidden="false" customHeight="false" outlineLevel="0" collapsed="false">
      <c r="A101" s="375" t="n">
        <v>35735</v>
      </c>
      <c r="B101" s="294" t="s">
        <v>459</v>
      </c>
      <c r="C101" s="294" t="s">
        <v>464</v>
      </c>
      <c r="D101" s="294" t="s">
        <v>460</v>
      </c>
      <c r="E101" s="493" t="n">
        <v>54285</v>
      </c>
      <c r="F101" s="360" t="n">
        <f aca="false">E101/30</f>
        <v>1809.5</v>
      </c>
      <c r="G101" s="493" t="n">
        <v>2171.4</v>
      </c>
    </row>
    <row r="102" customFormat="false" ht="12.75" hidden="false" customHeight="false" outlineLevel="0" collapsed="false">
      <c r="A102" s="375" t="n">
        <v>35765</v>
      </c>
      <c r="B102" s="294" t="s">
        <v>459</v>
      </c>
      <c r="C102" s="294" t="s">
        <v>464</v>
      </c>
      <c r="D102" s="294" t="s">
        <v>460</v>
      </c>
      <c r="E102" s="493" t="n">
        <v>153840</v>
      </c>
      <c r="F102" s="360" t="n">
        <f aca="false">E102/31</f>
        <v>4962.58064516129</v>
      </c>
      <c r="G102" s="493" t="n">
        <v>11553.6</v>
      </c>
    </row>
    <row r="103" customFormat="false" ht="12.75" hidden="false" customHeight="false" outlineLevel="0" collapsed="false">
      <c r="A103" s="375" t="n">
        <v>35796</v>
      </c>
      <c r="B103" s="294" t="s">
        <v>459</v>
      </c>
      <c r="C103" s="294" t="s">
        <v>464</v>
      </c>
      <c r="D103" s="294" t="s">
        <v>460</v>
      </c>
      <c r="E103" s="493" t="n">
        <v>19000</v>
      </c>
      <c r="F103" s="360" t="n">
        <f aca="false">E103/31</f>
        <v>612.903225806452</v>
      </c>
      <c r="G103" s="294" t="n">
        <v>950</v>
      </c>
    </row>
    <row r="104" customFormat="false" ht="12.75" hidden="false" customHeight="false" outlineLevel="0" collapsed="false">
      <c r="A104" s="375" t="n">
        <v>35827</v>
      </c>
      <c r="B104" s="294" t="s">
        <v>459</v>
      </c>
      <c r="C104" s="294" t="s">
        <v>464</v>
      </c>
      <c r="D104" s="294" t="s">
        <v>460</v>
      </c>
      <c r="E104" s="493" t="n">
        <v>20000</v>
      </c>
      <c r="F104" s="360" t="n">
        <f aca="false">E104/28</f>
        <v>714.285714285714</v>
      </c>
      <c r="G104" s="493" t="n">
        <v>1800</v>
      </c>
    </row>
    <row r="105" customFormat="false" ht="12.75" hidden="false" customHeight="false" outlineLevel="0" collapsed="false">
      <c r="A105" s="375" t="n">
        <v>35855</v>
      </c>
      <c r="B105" s="294" t="s">
        <v>459</v>
      </c>
      <c r="C105" s="294" t="s">
        <v>464</v>
      </c>
      <c r="D105" s="294" t="s">
        <v>460</v>
      </c>
      <c r="E105" s="493" t="n">
        <v>76000</v>
      </c>
      <c r="F105" s="360" t="n">
        <f aca="false">E105/31</f>
        <v>2451.61290322581</v>
      </c>
      <c r="G105" s="493" t="n">
        <v>3040</v>
      </c>
    </row>
    <row r="106" customFormat="false" ht="12.75" hidden="false" customHeight="false" outlineLevel="0" collapsed="false">
      <c r="A106" s="375" t="n">
        <v>35886</v>
      </c>
      <c r="B106" s="294" t="s">
        <v>459</v>
      </c>
      <c r="C106" s="294" t="s">
        <v>464</v>
      </c>
      <c r="D106" s="294" t="s">
        <v>460</v>
      </c>
      <c r="E106" s="493" t="n">
        <v>377055</v>
      </c>
      <c r="F106" s="360" t="n">
        <f aca="false">E106/30</f>
        <v>12568.5</v>
      </c>
      <c r="G106" s="493" t="n">
        <v>11805.1</v>
      </c>
    </row>
    <row r="107" customFormat="false" ht="12.75" hidden="false" customHeight="false" outlineLevel="0" collapsed="false">
      <c r="A107" s="375" t="n">
        <v>35916</v>
      </c>
      <c r="B107" s="294" t="s">
        <v>459</v>
      </c>
      <c r="C107" s="294" t="s">
        <v>464</v>
      </c>
      <c r="D107" s="294" t="s">
        <v>460</v>
      </c>
      <c r="E107" s="493" t="n">
        <v>504227</v>
      </c>
      <c r="F107" s="360" t="n">
        <f aca="false">E107/31</f>
        <v>16265.3870967742</v>
      </c>
      <c r="G107" s="493" t="n">
        <v>15449.18</v>
      </c>
    </row>
    <row r="108" customFormat="false" ht="12.75" hidden="false" customHeight="false" outlineLevel="0" collapsed="false">
      <c r="A108" s="375" t="n">
        <v>35947</v>
      </c>
      <c r="B108" s="294" t="s">
        <v>459</v>
      </c>
      <c r="C108" s="294" t="s">
        <v>464</v>
      </c>
      <c r="D108" s="294" t="s">
        <v>460</v>
      </c>
      <c r="E108" s="493" t="n">
        <v>2198918</v>
      </c>
      <c r="F108" s="360" t="n">
        <f aca="false">E108/30</f>
        <v>73297.2666666667</v>
      </c>
      <c r="G108" s="493" t="n">
        <v>105007.85</v>
      </c>
    </row>
    <row r="109" customFormat="false" ht="12.75" hidden="false" customHeight="false" outlineLevel="0" collapsed="false">
      <c r="A109" s="375" t="n">
        <v>35977</v>
      </c>
      <c r="B109" s="294" t="s">
        <v>459</v>
      </c>
      <c r="C109" s="294" t="s">
        <v>464</v>
      </c>
      <c r="D109" s="294" t="s">
        <v>460</v>
      </c>
      <c r="E109" s="493" t="n">
        <v>57734</v>
      </c>
      <c r="F109" s="360" t="n">
        <f aca="false">E109/31</f>
        <v>1862.38709677419</v>
      </c>
      <c r="G109" s="493" t="n">
        <v>4411.7</v>
      </c>
    </row>
    <row r="110" customFormat="false" ht="12.75" hidden="false" customHeight="false" outlineLevel="0" collapsed="false">
      <c r="A110" s="375" t="n">
        <v>36039</v>
      </c>
      <c r="B110" s="294" t="s">
        <v>459</v>
      </c>
      <c r="C110" s="294" t="s">
        <v>464</v>
      </c>
      <c r="D110" s="294" t="s">
        <v>460</v>
      </c>
      <c r="E110" s="493" t="n">
        <v>64497</v>
      </c>
      <c r="F110" s="360" t="n">
        <f aca="false">E110/30</f>
        <v>2149.9</v>
      </c>
      <c r="G110" s="493" t="n">
        <v>3813.06</v>
      </c>
    </row>
    <row r="111" customFormat="false" ht="12.75" hidden="false" customHeight="false" outlineLevel="0" collapsed="false">
      <c r="A111" s="375" t="n">
        <v>36069</v>
      </c>
      <c r="B111" s="294" t="s">
        <v>459</v>
      </c>
      <c r="C111" s="294" t="s">
        <v>464</v>
      </c>
      <c r="D111" s="294" t="s">
        <v>460</v>
      </c>
      <c r="E111" s="493" t="n">
        <v>321259</v>
      </c>
      <c r="F111" s="360" t="n">
        <f aca="false">E111/31</f>
        <v>10363.1935483871</v>
      </c>
      <c r="G111" s="493" t="n">
        <v>16062.95</v>
      </c>
    </row>
    <row r="112" customFormat="false" ht="12.75" hidden="false" customHeight="false" outlineLevel="0" collapsed="false">
      <c r="A112" s="375" t="n">
        <v>36130</v>
      </c>
      <c r="B112" s="294" t="s">
        <v>459</v>
      </c>
      <c r="C112" s="294" t="s">
        <v>464</v>
      </c>
      <c r="D112" s="294" t="s">
        <v>460</v>
      </c>
      <c r="E112" s="493" t="n">
        <v>20433</v>
      </c>
      <c r="F112" s="360" t="n">
        <f aca="false">E112/31</f>
        <v>659.129032258065</v>
      </c>
      <c r="G112" s="493" t="n">
        <v>1021.65</v>
      </c>
    </row>
    <row r="113" customFormat="false" ht="12.75" hidden="false" customHeight="false" outlineLevel="0" collapsed="false">
      <c r="A113" s="375" t="n">
        <v>36192</v>
      </c>
      <c r="B113" s="294" t="s">
        <v>459</v>
      </c>
      <c r="C113" s="294" t="s">
        <v>464</v>
      </c>
      <c r="D113" s="294" t="s">
        <v>460</v>
      </c>
      <c r="E113" s="493" t="n">
        <v>68399</v>
      </c>
      <c r="F113" s="360" t="n">
        <f aca="false">E113/29</f>
        <v>2358.58620689655</v>
      </c>
      <c r="G113" s="493" t="n">
        <v>5471.92</v>
      </c>
    </row>
    <row r="114" customFormat="false" ht="12.75" hidden="false" customHeight="false" outlineLevel="0" collapsed="false">
      <c r="A114" s="375" t="n">
        <v>36220</v>
      </c>
      <c r="B114" s="294" t="s">
        <v>459</v>
      </c>
      <c r="C114" s="294" t="s">
        <v>464</v>
      </c>
      <c r="D114" s="294" t="s">
        <v>460</v>
      </c>
      <c r="E114" s="493" t="n">
        <v>140141</v>
      </c>
      <c r="F114" s="360" t="n">
        <f aca="false">E114/31</f>
        <v>4520.67741935484</v>
      </c>
      <c r="G114" s="493" t="n">
        <v>11211.28</v>
      </c>
    </row>
    <row r="115" customFormat="false" ht="12.75" hidden="false" customHeight="false" outlineLevel="0" collapsed="false">
      <c r="A115" s="375" t="n">
        <v>36251</v>
      </c>
      <c r="B115" s="294" t="s">
        <v>459</v>
      </c>
      <c r="C115" s="294" t="s">
        <v>464</v>
      </c>
      <c r="D115" s="294" t="s">
        <v>460</v>
      </c>
      <c r="E115" s="493" t="n">
        <v>200278</v>
      </c>
      <c r="F115" s="360" t="n">
        <f aca="false">E115/30</f>
        <v>6675.93333333333</v>
      </c>
      <c r="G115" s="493" t="n">
        <v>16022.24</v>
      </c>
    </row>
    <row r="116" customFormat="false" ht="12.75" hidden="false" customHeight="false" outlineLevel="0" collapsed="false">
      <c r="A116" s="375" t="n">
        <v>36281</v>
      </c>
      <c r="B116" s="294" t="s">
        <v>459</v>
      </c>
      <c r="C116" s="294" t="s">
        <v>464</v>
      </c>
      <c r="D116" s="294" t="s">
        <v>460</v>
      </c>
      <c r="E116" s="493" t="n">
        <v>213823</v>
      </c>
      <c r="F116" s="360" t="n">
        <f aca="false">E116/31</f>
        <v>6897.51612903226</v>
      </c>
      <c r="G116" s="493" t="n">
        <v>17105.84</v>
      </c>
    </row>
    <row r="117" customFormat="false" ht="12.75" hidden="false" customHeight="false" outlineLevel="0" collapsed="false">
      <c r="A117" s="375" t="n">
        <v>36312</v>
      </c>
      <c r="B117" s="294" t="s">
        <v>459</v>
      </c>
      <c r="C117" s="294" t="s">
        <v>464</v>
      </c>
      <c r="D117" s="294" t="s">
        <v>460</v>
      </c>
      <c r="E117" s="493" t="n">
        <v>300761</v>
      </c>
      <c r="F117" s="360" t="n">
        <f aca="false">E117/30</f>
        <v>10025.3666666667</v>
      </c>
      <c r="G117" s="493" t="n">
        <v>23450.89</v>
      </c>
    </row>
    <row r="118" customFormat="false" ht="12.75" hidden="false" customHeight="false" outlineLevel="0" collapsed="false">
      <c r="A118" s="375" t="n">
        <v>36342</v>
      </c>
      <c r="B118" s="294" t="s">
        <v>459</v>
      </c>
      <c r="C118" s="294" t="s">
        <v>464</v>
      </c>
      <c r="D118" s="294" t="s">
        <v>460</v>
      </c>
      <c r="E118" s="493" t="n">
        <v>457330</v>
      </c>
      <c r="F118" s="360" t="n">
        <f aca="false">E118/31</f>
        <v>14752.5806451613</v>
      </c>
      <c r="G118" s="493" t="n">
        <v>25098.32</v>
      </c>
    </row>
    <row r="119" customFormat="false" ht="12.75" hidden="false" customHeight="false" outlineLevel="0" collapsed="false">
      <c r="A119" s="375" t="n">
        <v>36373</v>
      </c>
      <c r="B119" s="294" t="s">
        <v>459</v>
      </c>
      <c r="C119" s="294" t="s">
        <v>464</v>
      </c>
      <c r="D119" s="294" t="s">
        <v>460</v>
      </c>
      <c r="E119" s="493" t="n">
        <v>343874</v>
      </c>
      <c r="F119" s="360" t="n">
        <f aca="false">E119/31</f>
        <v>11092.7096774194</v>
      </c>
      <c r="G119" s="493" t="n">
        <v>17163.22</v>
      </c>
    </row>
    <row r="120" customFormat="false" ht="12.75" hidden="false" customHeight="false" outlineLevel="0" collapsed="false">
      <c r="A120" s="375" t="n">
        <v>36404</v>
      </c>
      <c r="B120" s="294" t="s">
        <v>459</v>
      </c>
      <c r="C120" s="294" t="s">
        <v>464</v>
      </c>
      <c r="D120" s="294" t="s">
        <v>460</v>
      </c>
      <c r="E120" s="493" t="n">
        <v>172792</v>
      </c>
      <c r="F120" s="360" t="n">
        <f aca="false">E120/30</f>
        <v>5759.73333333333</v>
      </c>
      <c r="G120" s="493" t="n">
        <v>13823.36</v>
      </c>
    </row>
    <row r="121" customFormat="false" ht="12.75" hidden="false" customHeight="false" outlineLevel="0" collapsed="false">
      <c r="A121" s="375" t="n">
        <v>35431</v>
      </c>
      <c r="B121" s="294" t="s">
        <v>459</v>
      </c>
      <c r="C121" s="294" t="s">
        <v>460</v>
      </c>
      <c r="D121" s="294" t="s">
        <v>465</v>
      </c>
      <c r="E121" s="493" t="n">
        <v>1429</v>
      </c>
      <c r="F121" s="360" t="n">
        <f aca="false">E121/31</f>
        <v>46.0967741935484</v>
      </c>
      <c r="G121" s="294" t="n">
        <v>42.87</v>
      </c>
    </row>
    <row r="122" customFormat="false" ht="12.75" hidden="false" customHeight="false" outlineLevel="0" collapsed="false">
      <c r="A122" s="375" t="n">
        <v>35490</v>
      </c>
      <c r="B122" s="294" t="s">
        <v>459</v>
      </c>
      <c r="C122" s="294" t="s">
        <v>460</v>
      </c>
      <c r="D122" s="294" t="s">
        <v>462</v>
      </c>
      <c r="E122" s="294" t="n">
        <v>73</v>
      </c>
      <c r="F122" s="360" t="n">
        <f aca="false">E122/31</f>
        <v>2.35483870967742</v>
      </c>
      <c r="G122" s="294" t="n">
        <v>16.27</v>
      </c>
    </row>
    <row r="123" customFormat="false" ht="12.75" hidden="false" customHeight="false" outlineLevel="0" collapsed="false">
      <c r="A123" s="375" t="n">
        <v>35521</v>
      </c>
      <c r="B123" s="294" t="s">
        <v>459</v>
      </c>
      <c r="C123" s="294" t="s">
        <v>460</v>
      </c>
      <c r="D123" s="294" t="s">
        <v>462</v>
      </c>
      <c r="E123" s="294" t="n">
        <v>162</v>
      </c>
      <c r="F123" s="360" t="n">
        <f aca="false">E123/30</f>
        <v>5.4</v>
      </c>
      <c r="G123" s="294" t="n">
        <v>36.11</v>
      </c>
    </row>
    <row r="124" customFormat="false" ht="12.75" hidden="false" customHeight="false" outlineLevel="0" collapsed="false">
      <c r="A124" s="375" t="n">
        <v>35551</v>
      </c>
      <c r="B124" s="294" t="s">
        <v>459</v>
      </c>
      <c r="C124" s="294" t="s">
        <v>460</v>
      </c>
      <c r="D124" s="294" t="s">
        <v>462</v>
      </c>
      <c r="E124" s="493" t="n">
        <v>2482</v>
      </c>
      <c r="F124" s="360" t="n">
        <f aca="false">E124/31</f>
        <v>80.0645161290323</v>
      </c>
      <c r="G124" s="294" t="n">
        <v>74.46</v>
      </c>
    </row>
    <row r="125" customFormat="false" ht="12.75" hidden="false" customHeight="false" outlineLevel="0" collapsed="false">
      <c r="A125" s="375" t="n">
        <v>35643</v>
      </c>
      <c r="B125" s="294" t="s">
        <v>461</v>
      </c>
      <c r="C125" s="294" t="s">
        <v>460</v>
      </c>
      <c r="D125" s="294" t="s">
        <v>462</v>
      </c>
      <c r="E125" s="294" t="n">
        <v>0</v>
      </c>
      <c r="F125" s="360" t="n">
        <f aca="false">E125/31</f>
        <v>0</v>
      </c>
      <c r="G125" s="294" t="n">
        <v>-31.25</v>
      </c>
    </row>
    <row r="126" customFormat="false" ht="12.75" hidden="false" customHeight="false" outlineLevel="0" collapsed="false">
      <c r="A126" s="375" t="n">
        <v>36192</v>
      </c>
      <c r="B126" s="294" t="s">
        <v>459</v>
      </c>
      <c r="C126" s="294" t="s">
        <v>460</v>
      </c>
      <c r="D126" s="294" t="s">
        <v>462</v>
      </c>
      <c r="E126" s="294" t="n">
        <v>0</v>
      </c>
      <c r="F126" s="360" t="n">
        <f aca="false">E126/29</f>
        <v>0</v>
      </c>
      <c r="G126" s="294" t="n">
        <v>0</v>
      </c>
    </row>
    <row r="127" customFormat="false" ht="12.75" hidden="false" customHeight="false" outlineLevel="0" collapsed="false">
      <c r="A127" s="375" t="n">
        <v>36312</v>
      </c>
      <c r="B127" s="294" t="s">
        <v>459</v>
      </c>
      <c r="C127" s="294" t="s">
        <v>460</v>
      </c>
      <c r="D127" s="294" t="s">
        <v>462</v>
      </c>
      <c r="E127" s="493" t="n">
        <v>9869</v>
      </c>
      <c r="F127" s="360" t="n">
        <f aca="false">E127/30</f>
        <v>328.966666666667</v>
      </c>
      <c r="G127" s="294" t="n">
        <v>493.45</v>
      </c>
    </row>
    <row r="128" customFormat="false" ht="12.75" hidden="false" customHeight="false" outlineLevel="0" collapsed="false">
      <c r="A128" s="375" t="n">
        <v>35431</v>
      </c>
      <c r="B128" s="294" t="s">
        <v>459</v>
      </c>
      <c r="C128" s="294" t="s">
        <v>462</v>
      </c>
      <c r="D128" s="294" t="s">
        <v>462</v>
      </c>
      <c r="E128" s="493" t="n">
        <v>1903470</v>
      </c>
      <c r="F128" s="360" t="n">
        <f aca="false">E128/31</f>
        <v>61402.2580645161</v>
      </c>
      <c r="G128" s="493" t="n">
        <v>37880.55</v>
      </c>
    </row>
    <row r="129" customFormat="false" ht="12.75" hidden="false" customHeight="false" outlineLevel="0" collapsed="false">
      <c r="A129" s="375" t="n">
        <v>35462</v>
      </c>
      <c r="B129" s="294" t="s">
        <v>459</v>
      </c>
      <c r="C129" s="294" t="s">
        <v>462</v>
      </c>
      <c r="D129" s="294" t="s">
        <v>462</v>
      </c>
      <c r="E129" s="493" t="n">
        <v>690293</v>
      </c>
      <c r="F129" s="360" t="n">
        <f aca="false">E129/28</f>
        <v>24653.3214285714</v>
      </c>
      <c r="G129" s="493" t="n">
        <v>35727.79</v>
      </c>
    </row>
    <row r="130" customFormat="false" ht="12.75" hidden="false" customHeight="false" outlineLevel="0" collapsed="false">
      <c r="A130" s="375" t="n">
        <v>35490</v>
      </c>
      <c r="B130" s="294" t="s">
        <v>459</v>
      </c>
      <c r="C130" s="294" t="s">
        <v>462</v>
      </c>
      <c r="D130" s="294" t="s">
        <v>462</v>
      </c>
      <c r="E130" s="493" t="n">
        <v>1396188</v>
      </c>
      <c r="F130" s="360" t="n">
        <f aca="false">E130/31</f>
        <v>45038.3225806452</v>
      </c>
      <c r="G130" s="493" t="n">
        <v>52851.37</v>
      </c>
    </row>
    <row r="131" customFormat="false" ht="12.75" hidden="false" customHeight="false" outlineLevel="0" collapsed="false">
      <c r="A131" s="375" t="n">
        <v>35521</v>
      </c>
      <c r="B131" s="294" t="s">
        <v>459</v>
      </c>
      <c r="C131" s="294" t="s">
        <v>462</v>
      </c>
      <c r="D131" s="294" t="s">
        <v>462</v>
      </c>
      <c r="E131" s="493" t="n">
        <v>1402713</v>
      </c>
      <c r="F131" s="360" t="n">
        <f aca="false">E131/30</f>
        <v>46757.1</v>
      </c>
      <c r="G131" s="493" t="n">
        <v>62957.12</v>
      </c>
    </row>
    <row r="132" customFormat="false" ht="12.75" hidden="false" customHeight="false" outlineLevel="0" collapsed="false">
      <c r="A132" s="375" t="n">
        <v>35551</v>
      </c>
      <c r="B132" s="294" t="s">
        <v>459</v>
      </c>
      <c r="C132" s="294" t="s">
        <v>462</v>
      </c>
      <c r="D132" s="294" t="s">
        <v>462</v>
      </c>
      <c r="E132" s="493" t="n">
        <v>1040186</v>
      </c>
      <c r="F132" s="360" t="n">
        <f aca="false">E132/31</f>
        <v>33554.3870967742</v>
      </c>
      <c r="G132" s="493" t="n">
        <v>33365.85</v>
      </c>
    </row>
    <row r="133" customFormat="false" ht="12.75" hidden="false" customHeight="false" outlineLevel="0" collapsed="false">
      <c r="A133" s="375" t="n">
        <v>35582</v>
      </c>
      <c r="B133" s="294" t="s">
        <v>459</v>
      </c>
      <c r="C133" s="294" t="s">
        <v>462</v>
      </c>
      <c r="D133" s="294" t="s">
        <v>462</v>
      </c>
      <c r="E133" s="493" t="n">
        <v>984354</v>
      </c>
      <c r="F133" s="360" t="n">
        <f aca="false">E133/30</f>
        <v>32811.8</v>
      </c>
      <c r="G133" s="493" t="n">
        <v>49140.68</v>
      </c>
    </row>
    <row r="134" customFormat="false" ht="12.75" hidden="false" customHeight="false" outlineLevel="0" collapsed="false">
      <c r="A134" s="375" t="n">
        <v>35612</v>
      </c>
      <c r="B134" s="294" t="s">
        <v>461</v>
      </c>
      <c r="C134" s="294" t="s">
        <v>462</v>
      </c>
      <c r="D134" s="294" t="s">
        <v>462</v>
      </c>
      <c r="E134" s="493" t="n">
        <v>7500</v>
      </c>
      <c r="F134" s="360" t="n">
        <f aca="false">E134/31</f>
        <v>241.935483870968</v>
      </c>
      <c r="G134" s="294" t="n">
        <v>375</v>
      </c>
    </row>
    <row r="135" customFormat="false" ht="12.75" hidden="false" customHeight="false" outlineLevel="0" collapsed="false">
      <c r="A135" s="375" t="n">
        <v>35612</v>
      </c>
      <c r="B135" s="294" t="s">
        <v>459</v>
      </c>
      <c r="C135" s="294" t="s">
        <v>462</v>
      </c>
      <c r="D135" s="294" t="s">
        <v>462</v>
      </c>
      <c r="E135" s="493" t="n">
        <v>1563701</v>
      </c>
      <c r="F135" s="360" t="n">
        <f aca="false">E135/31</f>
        <v>50441.9677419355</v>
      </c>
      <c r="G135" s="493" t="n">
        <v>44778.55</v>
      </c>
    </row>
    <row r="136" customFormat="false" ht="12.75" hidden="false" customHeight="false" outlineLevel="0" collapsed="false">
      <c r="A136" s="375" t="n">
        <v>35643</v>
      </c>
      <c r="B136" s="294" t="s">
        <v>461</v>
      </c>
      <c r="C136" s="294" t="s">
        <v>462</v>
      </c>
      <c r="D136" s="294" t="s">
        <v>462</v>
      </c>
      <c r="E136" s="294" t="n">
        <v>0</v>
      </c>
      <c r="F136" s="360" t="n">
        <f aca="false">E136/31</f>
        <v>0</v>
      </c>
      <c r="G136" s="493" t="n">
        <v>-1730.26</v>
      </c>
    </row>
    <row r="137" customFormat="false" ht="12.75" hidden="false" customHeight="false" outlineLevel="0" collapsed="false">
      <c r="A137" s="375" t="n">
        <v>35643</v>
      </c>
      <c r="B137" s="294" t="s">
        <v>459</v>
      </c>
      <c r="C137" s="294" t="s">
        <v>462</v>
      </c>
      <c r="D137" s="294" t="s">
        <v>462</v>
      </c>
      <c r="E137" s="493" t="n">
        <v>1710618</v>
      </c>
      <c r="F137" s="360" t="n">
        <f aca="false">E137/31</f>
        <v>55181.2258064516</v>
      </c>
      <c r="G137" s="493" t="n">
        <v>65421.8</v>
      </c>
    </row>
    <row r="138" customFormat="false" ht="12.75" hidden="false" customHeight="false" outlineLevel="0" collapsed="false">
      <c r="A138" s="375" t="n">
        <v>35674</v>
      </c>
      <c r="B138" s="294" t="s">
        <v>461</v>
      </c>
      <c r="C138" s="294" t="s">
        <v>462</v>
      </c>
      <c r="D138" s="294" t="s">
        <v>462</v>
      </c>
      <c r="E138" s="294" t="n">
        <v>0</v>
      </c>
      <c r="F138" s="360" t="n">
        <f aca="false">E138/30</f>
        <v>0</v>
      </c>
      <c r="G138" s="294" t="n">
        <v>-476.73</v>
      </c>
    </row>
    <row r="139" customFormat="false" ht="12.75" hidden="false" customHeight="false" outlineLevel="0" collapsed="false">
      <c r="A139" s="375" t="n">
        <v>35674</v>
      </c>
      <c r="B139" s="294" t="s">
        <v>459</v>
      </c>
      <c r="C139" s="294" t="s">
        <v>462</v>
      </c>
      <c r="D139" s="294" t="s">
        <v>462</v>
      </c>
      <c r="E139" s="493" t="n">
        <v>1569753</v>
      </c>
      <c r="F139" s="360" t="n">
        <f aca="false">E139/30</f>
        <v>52325.1</v>
      </c>
      <c r="G139" s="493" t="n">
        <v>48720.1</v>
      </c>
    </row>
    <row r="140" customFormat="false" ht="12.75" hidden="false" customHeight="false" outlineLevel="0" collapsed="false">
      <c r="A140" s="375" t="n">
        <v>35704</v>
      </c>
      <c r="B140" s="294" t="s">
        <v>459</v>
      </c>
      <c r="C140" s="294" t="s">
        <v>462</v>
      </c>
      <c r="D140" s="294" t="s">
        <v>462</v>
      </c>
      <c r="E140" s="493" t="n">
        <v>831400</v>
      </c>
      <c r="F140" s="360" t="n">
        <f aca="false">E140/31</f>
        <v>26819.3548387097</v>
      </c>
      <c r="G140" s="493" t="n">
        <v>21118.97</v>
      </c>
    </row>
    <row r="141" customFormat="false" ht="12.75" hidden="false" customHeight="false" outlineLevel="0" collapsed="false">
      <c r="A141" s="375" t="n">
        <v>35735</v>
      </c>
      <c r="B141" s="294" t="s">
        <v>461</v>
      </c>
      <c r="C141" s="294" t="s">
        <v>462</v>
      </c>
      <c r="D141" s="294" t="s">
        <v>462</v>
      </c>
      <c r="E141" s="294" t="n">
        <v>0</v>
      </c>
      <c r="F141" s="360" t="n">
        <f aca="false">E141/30</f>
        <v>0</v>
      </c>
      <c r="G141" s="493" t="n">
        <v>-12396.28</v>
      </c>
    </row>
    <row r="142" customFormat="false" ht="12.75" hidden="false" customHeight="false" outlineLevel="0" collapsed="false">
      <c r="A142" s="375" t="n">
        <v>35735</v>
      </c>
      <c r="B142" s="294" t="s">
        <v>459</v>
      </c>
      <c r="C142" s="294" t="s">
        <v>462</v>
      </c>
      <c r="D142" s="294" t="s">
        <v>462</v>
      </c>
      <c r="E142" s="493" t="n">
        <v>1199044</v>
      </c>
      <c r="F142" s="360" t="n">
        <f aca="false">E142/30</f>
        <v>39968.1333333333</v>
      </c>
      <c r="G142" s="493" t="n">
        <v>26027.47</v>
      </c>
    </row>
    <row r="143" customFormat="false" ht="12.75" hidden="false" customHeight="false" outlineLevel="0" collapsed="false">
      <c r="A143" s="375" t="n">
        <v>35765</v>
      </c>
      <c r="B143" s="294" t="s">
        <v>459</v>
      </c>
      <c r="C143" s="294" t="s">
        <v>462</v>
      </c>
      <c r="D143" s="294" t="s">
        <v>462</v>
      </c>
      <c r="E143" s="493" t="n">
        <v>1821722</v>
      </c>
      <c r="F143" s="360" t="n">
        <f aca="false">E143/31</f>
        <v>58765.2258064516</v>
      </c>
      <c r="G143" s="493" t="n">
        <v>44972.89</v>
      </c>
    </row>
    <row r="144" customFormat="false" ht="12.75" hidden="false" customHeight="false" outlineLevel="0" collapsed="false">
      <c r="A144" s="375" t="n">
        <v>35796</v>
      </c>
      <c r="B144" s="294" t="s">
        <v>459</v>
      </c>
      <c r="C144" s="294" t="s">
        <v>462</v>
      </c>
      <c r="D144" s="294" t="s">
        <v>462</v>
      </c>
      <c r="E144" s="493" t="n">
        <v>1727796</v>
      </c>
      <c r="F144" s="360" t="n">
        <f aca="false">E144/31</f>
        <v>55735.3548387097</v>
      </c>
      <c r="G144" s="493" t="n">
        <v>28118.55</v>
      </c>
    </row>
    <row r="145" customFormat="false" ht="12.75" hidden="false" customHeight="false" outlineLevel="0" collapsed="false">
      <c r="A145" s="375" t="n">
        <v>35827</v>
      </c>
      <c r="B145" s="294" t="s">
        <v>459</v>
      </c>
      <c r="C145" s="294" t="s">
        <v>462</v>
      </c>
      <c r="D145" s="294" t="s">
        <v>462</v>
      </c>
      <c r="E145" s="493" t="n">
        <v>1659281</v>
      </c>
      <c r="F145" s="360" t="n">
        <f aca="false">E145/28</f>
        <v>59260.0357142857</v>
      </c>
      <c r="G145" s="493" t="n">
        <v>41145.68</v>
      </c>
    </row>
    <row r="146" customFormat="false" ht="12.75" hidden="false" customHeight="false" outlineLevel="0" collapsed="false">
      <c r="A146" s="375" t="n">
        <v>35855</v>
      </c>
      <c r="B146" s="294" t="s">
        <v>459</v>
      </c>
      <c r="C146" s="294" t="s">
        <v>462</v>
      </c>
      <c r="D146" s="294" t="s">
        <v>462</v>
      </c>
      <c r="E146" s="493" t="n">
        <v>915680</v>
      </c>
      <c r="F146" s="360" t="n">
        <f aca="false">E146/31</f>
        <v>29538.064516129</v>
      </c>
      <c r="G146" s="493" t="n">
        <v>10643.85</v>
      </c>
    </row>
    <row r="147" customFormat="false" ht="12.75" hidden="false" customHeight="false" outlineLevel="0" collapsed="false">
      <c r="A147" s="375" t="n">
        <v>35886</v>
      </c>
      <c r="B147" s="294" t="s">
        <v>459</v>
      </c>
      <c r="C147" s="294" t="s">
        <v>462</v>
      </c>
      <c r="D147" s="294" t="s">
        <v>462</v>
      </c>
      <c r="E147" s="493" t="n">
        <v>991815</v>
      </c>
      <c r="F147" s="360" t="n">
        <f aca="false">E147/30</f>
        <v>33060.5</v>
      </c>
      <c r="G147" s="493" t="n">
        <v>9139.41</v>
      </c>
    </row>
    <row r="148" customFormat="false" ht="12.75" hidden="false" customHeight="false" outlineLevel="0" collapsed="false">
      <c r="A148" s="375" t="n">
        <v>35916</v>
      </c>
      <c r="B148" s="294" t="s">
        <v>459</v>
      </c>
      <c r="C148" s="294" t="s">
        <v>462</v>
      </c>
      <c r="D148" s="294" t="s">
        <v>462</v>
      </c>
      <c r="E148" s="493" t="n">
        <v>776391</v>
      </c>
      <c r="F148" s="360" t="n">
        <f aca="false">E148/31</f>
        <v>25044.8709677419</v>
      </c>
      <c r="G148" s="493" t="n">
        <v>7521.61</v>
      </c>
    </row>
    <row r="149" customFormat="false" ht="12.75" hidden="false" customHeight="false" outlineLevel="0" collapsed="false">
      <c r="A149" s="375" t="n">
        <v>35947</v>
      </c>
      <c r="B149" s="294" t="s">
        <v>459</v>
      </c>
      <c r="C149" s="294" t="s">
        <v>462</v>
      </c>
      <c r="D149" s="294" t="s">
        <v>462</v>
      </c>
      <c r="E149" s="493" t="n">
        <v>1610754</v>
      </c>
      <c r="F149" s="360" t="n">
        <f aca="false">E149/30</f>
        <v>53691.8</v>
      </c>
      <c r="G149" s="493" t="n">
        <v>30777.65</v>
      </c>
    </row>
    <row r="150" customFormat="false" ht="12.75" hidden="false" customHeight="false" outlineLevel="0" collapsed="false">
      <c r="A150" s="375" t="n">
        <v>35977</v>
      </c>
      <c r="B150" s="294" t="s">
        <v>459</v>
      </c>
      <c r="C150" s="294" t="s">
        <v>462</v>
      </c>
      <c r="D150" s="294" t="s">
        <v>462</v>
      </c>
      <c r="E150" s="493" t="n">
        <v>2850411</v>
      </c>
      <c r="F150" s="360" t="n">
        <f aca="false">E150/31</f>
        <v>91948.7419354839</v>
      </c>
      <c r="G150" s="493" t="n">
        <v>103860.82</v>
      </c>
    </row>
    <row r="151" customFormat="false" ht="12.75" hidden="false" customHeight="false" outlineLevel="0" collapsed="false">
      <c r="A151" s="375" t="n">
        <v>36008</v>
      </c>
      <c r="B151" s="294" t="s">
        <v>461</v>
      </c>
      <c r="C151" s="294" t="s">
        <v>462</v>
      </c>
      <c r="D151" s="294" t="s">
        <v>462</v>
      </c>
      <c r="E151" s="294" t="n">
        <v>0</v>
      </c>
      <c r="F151" s="360" t="n">
        <f aca="false">E151/31</f>
        <v>0</v>
      </c>
      <c r="G151" s="493" t="n">
        <v>-1103.3</v>
      </c>
    </row>
    <row r="152" customFormat="false" ht="12.75" hidden="false" customHeight="false" outlineLevel="0" collapsed="false">
      <c r="A152" s="375" t="n">
        <v>36008</v>
      </c>
      <c r="B152" s="294" t="s">
        <v>459</v>
      </c>
      <c r="C152" s="294" t="s">
        <v>462</v>
      </c>
      <c r="D152" s="294" t="s">
        <v>462</v>
      </c>
      <c r="E152" s="493" t="n">
        <v>1512715</v>
      </c>
      <c r="F152" s="360" t="n">
        <f aca="false">E152/31</f>
        <v>48797.2580645161</v>
      </c>
      <c r="G152" s="493" t="n">
        <v>41138.18</v>
      </c>
    </row>
    <row r="153" customFormat="false" ht="12.75" hidden="false" customHeight="false" outlineLevel="0" collapsed="false">
      <c r="A153" s="375" t="n">
        <v>36039</v>
      </c>
      <c r="B153" s="294" t="s">
        <v>459</v>
      </c>
      <c r="C153" s="294" t="s">
        <v>462</v>
      </c>
      <c r="D153" s="294" t="s">
        <v>462</v>
      </c>
      <c r="E153" s="493" t="n">
        <v>1990958</v>
      </c>
      <c r="F153" s="360" t="n">
        <f aca="false">E153/30</f>
        <v>66365.2666666667</v>
      </c>
      <c r="G153" s="493" t="n">
        <v>60559.76</v>
      </c>
    </row>
    <row r="154" customFormat="false" ht="12.75" hidden="false" customHeight="false" outlineLevel="0" collapsed="false">
      <c r="A154" s="375" t="n">
        <v>36069</v>
      </c>
      <c r="B154" s="294" t="s">
        <v>459</v>
      </c>
      <c r="C154" s="294" t="s">
        <v>462</v>
      </c>
      <c r="D154" s="294" t="s">
        <v>462</v>
      </c>
      <c r="E154" s="493" t="n">
        <v>3356065</v>
      </c>
      <c r="F154" s="360" t="n">
        <f aca="false">E154/31</f>
        <v>108260.161290323</v>
      </c>
      <c r="G154" s="493" t="n">
        <v>95591.96</v>
      </c>
    </row>
    <row r="155" customFormat="false" ht="12.75" hidden="false" customHeight="false" outlineLevel="0" collapsed="false">
      <c r="A155" s="375" t="n">
        <v>36100</v>
      </c>
      <c r="B155" s="294" t="s">
        <v>459</v>
      </c>
      <c r="C155" s="294" t="s">
        <v>462</v>
      </c>
      <c r="D155" s="294" t="s">
        <v>462</v>
      </c>
      <c r="E155" s="493" t="n">
        <v>737444</v>
      </c>
      <c r="F155" s="360" t="n">
        <f aca="false">E155/30</f>
        <v>24581.4666666667</v>
      </c>
      <c r="G155" s="493" t="n">
        <v>22934.96</v>
      </c>
    </row>
    <row r="156" customFormat="false" ht="12.75" hidden="false" customHeight="false" outlineLevel="0" collapsed="false">
      <c r="A156" s="375" t="n">
        <v>36130</v>
      </c>
      <c r="B156" s="294" t="s">
        <v>459</v>
      </c>
      <c r="C156" s="294" t="s">
        <v>462</v>
      </c>
      <c r="D156" s="294" t="s">
        <v>462</v>
      </c>
      <c r="E156" s="493" t="n">
        <v>1061313</v>
      </c>
      <c r="F156" s="360" t="n">
        <f aca="false">E156/31</f>
        <v>34235.9032258065</v>
      </c>
      <c r="G156" s="493" t="n">
        <v>1506.5</v>
      </c>
    </row>
    <row r="157" customFormat="false" ht="12.75" hidden="false" customHeight="false" outlineLevel="0" collapsed="false">
      <c r="A157" s="375" t="n">
        <v>36161</v>
      </c>
      <c r="B157" s="294" t="s">
        <v>461</v>
      </c>
      <c r="C157" s="294" t="s">
        <v>462</v>
      </c>
      <c r="D157" s="294" t="s">
        <v>462</v>
      </c>
      <c r="E157" s="493" t="n">
        <v>1391</v>
      </c>
      <c r="F157" s="360" t="n">
        <f aca="false">E157/31</f>
        <v>44.8709677419355</v>
      </c>
      <c r="G157" s="294" t="n">
        <v>69.78</v>
      </c>
    </row>
    <row r="158" customFormat="false" ht="12.75" hidden="false" customHeight="false" outlineLevel="0" collapsed="false">
      <c r="A158" s="375" t="n">
        <v>36161</v>
      </c>
      <c r="B158" s="294" t="s">
        <v>459</v>
      </c>
      <c r="C158" s="294" t="s">
        <v>462</v>
      </c>
      <c r="D158" s="294" t="s">
        <v>462</v>
      </c>
      <c r="E158" s="493" t="n">
        <v>949838</v>
      </c>
      <c r="F158" s="360" t="n">
        <f aca="false">E158/31</f>
        <v>30639.935483871</v>
      </c>
      <c r="G158" s="493" t="n">
        <v>10880.01</v>
      </c>
    </row>
    <row r="159" customFormat="false" ht="12.75" hidden="false" customHeight="false" outlineLevel="0" collapsed="false">
      <c r="A159" s="375" t="n">
        <v>36192</v>
      </c>
      <c r="B159" s="294" t="s">
        <v>461</v>
      </c>
      <c r="C159" s="294" t="s">
        <v>462</v>
      </c>
      <c r="D159" s="294" t="s">
        <v>462</v>
      </c>
      <c r="E159" s="294" t="n">
        <v>0</v>
      </c>
      <c r="F159" s="360" t="n">
        <f aca="false">E159/29</f>
        <v>0</v>
      </c>
      <c r="G159" s="294" t="n">
        <v>-120.59</v>
      </c>
    </row>
    <row r="160" customFormat="false" ht="12.75" hidden="false" customHeight="false" outlineLevel="0" collapsed="false">
      <c r="A160" s="375" t="n">
        <v>36192</v>
      </c>
      <c r="B160" s="294" t="s">
        <v>459</v>
      </c>
      <c r="C160" s="294" t="s">
        <v>462</v>
      </c>
      <c r="D160" s="294" t="s">
        <v>462</v>
      </c>
      <c r="E160" s="493" t="n">
        <v>640190</v>
      </c>
      <c r="F160" s="360" t="n">
        <f aca="false">E160/29</f>
        <v>22075.5172413793</v>
      </c>
      <c r="G160" s="493" t="n">
        <v>5157.27</v>
      </c>
    </row>
    <row r="161" customFormat="false" ht="12.75" hidden="false" customHeight="false" outlineLevel="0" collapsed="false">
      <c r="A161" s="375" t="n">
        <v>36220</v>
      </c>
      <c r="B161" s="294" t="s">
        <v>459</v>
      </c>
      <c r="C161" s="294" t="s">
        <v>462</v>
      </c>
      <c r="D161" s="294" t="s">
        <v>462</v>
      </c>
      <c r="E161" s="493" t="n">
        <v>731549</v>
      </c>
      <c r="F161" s="360" t="n">
        <f aca="false">E161/31</f>
        <v>23598.3548387097</v>
      </c>
      <c r="G161" s="493" t="n">
        <v>12896.62</v>
      </c>
    </row>
    <row r="162" customFormat="false" ht="12.75" hidden="false" customHeight="false" outlineLevel="0" collapsed="false">
      <c r="A162" s="375" t="n">
        <v>36251</v>
      </c>
      <c r="B162" s="294" t="s">
        <v>459</v>
      </c>
      <c r="C162" s="294" t="s">
        <v>462</v>
      </c>
      <c r="D162" s="294" t="s">
        <v>462</v>
      </c>
      <c r="E162" s="493" t="n">
        <v>3251623</v>
      </c>
      <c r="F162" s="360" t="n">
        <f aca="false">E162/30</f>
        <v>108387.433333333</v>
      </c>
      <c r="G162" s="493" t="n">
        <v>93992.85</v>
      </c>
    </row>
    <row r="163" customFormat="false" ht="12.75" hidden="false" customHeight="false" outlineLevel="0" collapsed="false">
      <c r="A163" s="375" t="n">
        <v>36281</v>
      </c>
      <c r="B163" s="294" t="s">
        <v>459</v>
      </c>
      <c r="C163" s="294" t="s">
        <v>462</v>
      </c>
      <c r="D163" s="294" t="s">
        <v>462</v>
      </c>
      <c r="E163" s="493" t="n">
        <v>2398299</v>
      </c>
      <c r="F163" s="360" t="n">
        <f aca="false">E163/31</f>
        <v>77364.4838709677</v>
      </c>
      <c r="G163" s="493" t="n">
        <v>77702.06</v>
      </c>
    </row>
    <row r="164" customFormat="false" ht="12.75" hidden="false" customHeight="false" outlineLevel="0" collapsed="false">
      <c r="A164" s="375" t="n">
        <v>36312</v>
      </c>
      <c r="B164" s="294" t="s">
        <v>459</v>
      </c>
      <c r="C164" s="294" t="s">
        <v>462</v>
      </c>
      <c r="D164" s="294" t="s">
        <v>462</v>
      </c>
      <c r="E164" s="493" t="n">
        <v>2191474</v>
      </c>
      <c r="F164" s="360" t="n">
        <f aca="false">E164/30</f>
        <v>73049.1333333333</v>
      </c>
      <c r="G164" s="493" t="n">
        <v>95174.94</v>
      </c>
    </row>
    <row r="165" customFormat="false" ht="12.75" hidden="false" customHeight="false" outlineLevel="0" collapsed="false">
      <c r="A165" s="375" t="n">
        <v>36342</v>
      </c>
      <c r="B165" s="294" t="s">
        <v>459</v>
      </c>
      <c r="C165" s="294" t="s">
        <v>462</v>
      </c>
      <c r="D165" s="294" t="s">
        <v>462</v>
      </c>
      <c r="E165" s="493" t="n">
        <v>3690477</v>
      </c>
      <c r="F165" s="360" t="n">
        <f aca="false">E165/31</f>
        <v>119047.64516129</v>
      </c>
      <c r="G165" s="493" t="n">
        <v>73265.12</v>
      </c>
    </row>
    <row r="166" customFormat="false" ht="12.75" hidden="false" customHeight="false" outlineLevel="0" collapsed="false">
      <c r="A166" s="375" t="n">
        <v>36373</v>
      </c>
      <c r="B166" s="294" t="s">
        <v>459</v>
      </c>
      <c r="C166" s="294" t="s">
        <v>462</v>
      </c>
      <c r="D166" s="294" t="s">
        <v>462</v>
      </c>
      <c r="E166" s="493" t="n">
        <v>3577534</v>
      </c>
      <c r="F166" s="360" t="n">
        <f aca="false">E166/31</f>
        <v>115404.322580645</v>
      </c>
      <c r="G166" s="493" t="n">
        <v>121895.56</v>
      </c>
    </row>
    <row r="167" customFormat="false" ht="12.75" hidden="false" customHeight="false" outlineLevel="0" collapsed="false">
      <c r="A167" s="375" t="n">
        <v>36404</v>
      </c>
      <c r="B167" s="294" t="s">
        <v>459</v>
      </c>
      <c r="C167" s="294" t="s">
        <v>462</v>
      </c>
      <c r="D167" s="294" t="s">
        <v>462</v>
      </c>
      <c r="E167" s="493" t="n">
        <v>2796013</v>
      </c>
      <c r="F167" s="360" t="n">
        <f aca="false">E167/30</f>
        <v>93200.4333333333</v>
      </c>
      <c r="G167" s="493" t="n">
        <v>66455.36</v>
      </c>
    </row>
    <row r="168" customFormat="false" ht="12.75" hidden="false" customHeight="false" outlineLevel="0" collapsed="false">
      <c r="A168" s="375" t="n">
        <v>36434</v>
      </c>
      <c r="B168" s="294" t="s">
        <v>459</v>
      </c>
      <c r="C168" s="294" t="s">
        <v>462</v>
      </c>
      <c r="D168" s="294" t="s">
        <v>462</v>
      </c>
      <c r="E168" s="493" t="n">
        <v>1424876</v>
      </c>
      <c r="F168" s="360" t="n">
        <f aca="false">E168/31</f>
        <v>45963.7419354839</v>
      </c>
      <c r="G168" s="493" t="n">
        <v>23129.54</v>
      </c>
    </row>
    <row r="169" customFormat="false" ht="12.75" hidden="false" customHeight="false" outlineLevel="0" collapsed="false">
      <c r="A169" s="375" t="n">
        <v>36465</v>
      </c>
      <c r="B169" s="294" t="s">
        <v>459</v>
      </c>
      <c r="C169" s="294" t="s">
        <v>462</v>
      </c>
      <c r="D169" s="294" t="s">
        <v>462</v>
      </c>
      <c r="E169" s="493" t="n">
        <v>2490593</v>
      </c>
      <c r="F169" s="360" t="n">
        <f aca="false">E169/30</f>
        <v>83019.7666666667</v>
      </c>
      <c r="G169" s="493" t="n">
        <v>60285.73</v>
      </c>
    </row>
    <row r="170" customFormat="false" ht="12.75" hidden="false" customHeight="false" outlineLevel="0" collapsed="false">
      <c r="A170" s="375" t="n">
        <v>36495</v>
      </c>
      <c r="B170" s="294" t="s">
        <v>459</v>
      </c>
      <c r="C170" s="294" t="s">
        <v>462</v>
      </c>
      <c r="D170" s="294" t="s">
        <v>462</v>
      </c>
      <c r="E170" s="493" t="n">
        <v>3526645</v>
      </c>
      <c r="F170" s="360" t="n">
        <f aca="false">E170/31</f>
        <v>113762.741935484</v>
      </c>
      <c r="G170" s="493" t="n">
        <v>82751.63</v>
      </c>
    </row>
    <row r="171" customFormat="false" ht="12.75" hidden="false" customHeight="false" outlineLevel="0" collapsed="false">
      <c r="A171" s="375" t="n">
        <v>36069</v>
      </c>
      <c r="B171" s="294" t="s">
        <v>459</v>
      </c>
      <c r="C171" s="294" t="s">
        <v>463</v>
      </c>
      <c r="D171" s="294" t="s">
        <v>462</v>
      </c>
      <c r="E171" s="493" t="n">
        <v>12873</v>
      </c>
      <c r="F171" s="360" t="n">
        <f aca="false">E171/31</f>
        <v>415.258064516129</v>
      </c>
      <c r="G171" s="493" t="n">
        <v>1355.53</v>
      </c>
    </row>
    <row r="172" customFormat="false" ht="12.75" hidden="false" customHeight="false" outlineLevel="0" collapsed="false">
      <c r="A172" s="375" t="n">
        <v>36100</v>
      </c>
      <c r="B172" s="294" t="s">
        <v>459</v>
      </c>
      <c r="C172" s="294" t="s">
        <v>463</v>
      </c>
      <c r="D172" s="294" t="s">
        <v>462</v>
      </c>
      <c r="E172" s="294" t="n">
        <v>0</v>
      </c>
      <c r="F172" s="360" t="n">
        <f aca="false">E172/30</f>
        <v>0</v>
      </c>
      <c r="G172" s="294" t="n">
        <v>-711.88</v>
      </c>
    </row>
    <row r="173" customFormat="false" ht="12.75" hidden="false" customHeight="false" outlineLevel="0" collapsed="false">
      <c r="A173" s="375" t="n">
        <v>36192</v>
      </c>
      <c r="B173" s="294" t="s">
        <v>459</v>
      </c>
      <c r="C173" s="294" t="s">
        <v>463</v>
      </c>
      <c r="D173" s="294" t="s">
        <v>462</v>
      </c>
      <c r="E173" s="493" t="n">
        <v>26184</v>
      </c>
      <c r="F173" s="360" t="n">
        <f aca="false">E173/29</f>
        <v>902.896551724138</v>
      </c>
      <c r="G173" s="493" t="n">
        <v>1309.2</v>
      </c>
    </row>
    <row r="174" customFormat="false" ht="12.75" hidden="false" customHeight="false" outlineLevel="0" collapsed="false">
      <c r="A174" s="375" t="n">
        <v>36220</v>
      </c>
      <c r="B174" s="294" t="s">
        <v>459</v>
      </c>
      <c r="C174" s="294" t="s">
        <v>463</v>
      </c>
      <c r="D174" s="294" t="s">
        <v>462</v>
      </c>
      <c r="E174" s="493" t="n">
        <v>14985</v>
      </c>
      <c r="F174" s="360" t="n">
        <f aca="false">E174/31</f>
        <v>483.387096774194</v>
      </c>
      <c r="G174" s="294" t="n">
        <v>899.1</v>
      </c>
    </row>
    <row r="175" customFormat="false" ht="12.75" hidden="false" customHeight="false" outlineLevel="0" collapsed="false">
      <c r="A175" s="375" t="n">
        <v>36312</v>
      </c>
      <c r="B175" s="294" t="s">
        <v>459</v>
      </c>
      <c r="C175" s="294" t="s">
        <v>463</v>
      </c>
      <c r="D175" s="294" t="s">
        <v>462</v>
      </c>
      <c r="E175" s="294" t="n">
        <v>12</v>
      </c>
      <c r="F175" s="360" t="n">
        <f aca="false">E175/30</f>
        <v>0.4</v>
      </c>
      <c r="G175" s="294" t="n">
        <v>1.27</v>
      </c>
    </row>
    <row r="176" customFormat="false" ht="12.75" hidden="false" customHeight="false" outlineLevel="0" collapsed="false">
      <c r="A176" s="375" t="n">
        <v>36373</v>
      </c>
      <c r="B176" s="294" t="s">
        <v>459</v>
      </c>
      <c r="C176" s="294" t="s">
        <v>463</v>
      </c>
      <c r="D176" s="294" t="s">
        <v>462</v>
      </c>
      <c r="E176" s="493" t="n">
        <v>4608</v>
      </c>
      <c r="F176" s="360" t="n">
        <f aca="false">E176/31</f>
        <v>148.645161290323</v>
      </c>
      <c r="G176" s="294" t="n">
        <v>485.22</v>
      </c>
    </row>
    <row r="177" customFormat="false" ht="12.75" hidden="false" customHeight="false" outlineLevel="0" collapsed="false">
      <c r="A177" s="375" t="n">
        <v>36404</v>
      </c>
      <c r="B177" s="294" t="s">
        <v>459</v>
      </c>
      <c r="C177" s="294" t="s">
        <v>463</v>
      </c>
      <c r="D177" s="294" t="s">
        <v>462</v>
      </c>
      <c r="E177" s="493" t="n">
        <v>15693</v>
      </c>
      <c r="F177" s="360" t="n">
        <f aca="false">E177/30</f>
        <v>523.1</v>
      </c>
      <c r="G177" s="493" t="n">
        <v>1652.47</v>
      </c>
    </row>
    <row r="178" customFormat="false" ht="12.75" hidden="false" customHeight="false" outlineLevel="0" collapsed="false">
      <c r="A178" s="375" t="n">
        <v>35521</v>
      </c>
      <c r="B178" s="294" t="s">
        <v>459</v>
      </c>
      <c r="C178" s="294" t="s">
        <v>464</v>
      </c>
      <c r="D178" s="294" t="s">
        <v>462</v>
      </c>
      <c r="E178" s="493" t="n">
        <v>8000</v>
      </c>
      <c r="F178" s="360" t="n">
        <f aca="false">E178/30</f>
        <v>266.666666666667</v>
      </c>
      <c r="G178" s="294" t="n">
        <v>960</v>
      </c>
    </row>
    <row r="179" customFormat="false" ht="12.75" hidden="false" customHeight="false" outlineLevel="0" collapsed="false">
      <c r="A179" s="375" t="n">
        <v>36312</v>
      </c>
      <c r="B179" s="294" t="s">
        <v>461</v>
      </c>
      <c r="C179" s="294" t="s">
        <v>464</v>
      </c>
      <c r="D179" s="294" t="s">
        <v>462</v>
      </c>
      <c r="E179" s="493" t="n">
        <v>2628</v>
      </c>
      <c r="F179" s="360" t="n">
        <f aca="false">E179/30</f>
        <v>87.6</v>
      </c>
      <c r="G179" s="294" t="n">
        <v>354.78</v>
      </c>
    </row>
    <row r="180" customFormat="false" ht="12.75" hidden="false" customHeight="false" outlineLevel="0" collapsed="false">
      <c r="A180" s="375" t="n">
        <v>35431</v>
      </c>
      <c r="B180" s="294" t="s">
        <v>459</v>
      </c>
      <c r="C180" s="294" t="s">
        <v>460</v>
      </c>
      <c r="D180" s="294" t="s">
        <v>463</v>
      </c>
      <c r="E180" s="493" t="n">
        <v>66089</v>
      </c>
      <c r="F180" s="360" t="n">
        <f aca="false">E180/31</f>
        <v>2131.90322580645</v>
      </c>
      <c r="G180" s="493" t="n">
        <v>1982.67</v>
      </c>
    </row>
    <row r="181" customFormat="false" ht="12.75" hidden="false" customHeight="false" outlineLevel="0" collapsed="false">
      <c r="A181" s="375" t="n">
        <v>35462</v>
      </c>
      <c r="B181" s="294" t="s">
        <v>459</v>
      </c>
      <c r="C181" s="294" t="s">
        <v>460</v>
      </c>
      <c r="D181" s="294" t="s">
        <v>463</v>
      </c>
      <c r="E181" s="493" t="n">
        <v>59242</v>
      </c>
      <c r="F181" s="360" t="n">
        <f aca="false">E181/28</f>
        <v>2115.78571428571</v>
      </c>
      <c r="G181" s="493" t="n">
        <v>1777.26</v>
      </c>
    </row>
    <row r="182" customFormat="false" ht="12.75" hidden="false" customHeight="false" outlineLevel="0" collapsed="false">
      <c r="A182" s="375" t="n">
        <v>35551</v>
      </c>
      <c r="B182" s="294" t="s">
        <v>459</v>
      </c>
      <c r="C182" s="294" t="s">
        <v>460</v>
      </c>
      <c r="D182" s="294" t="s">
        <v>463</v>
      </c>
      <c r="E182" s="493" t="n">
        <v>112208</v>
      </c>
      <c r="F182" s="360" t="n">
        <f aca="false">E182/31</f>
        <v>3619.61290322581</v>
      </c>
      <c r="G182" s="493" t="n">
        <v>3366.24</v>
      </c>
    </row>
    <row r="183" customFormat="false" ht="12.75" hidden="false" customHeight="false" outlineLevel="0" collapsed="false">
      <c r="A183" s="375" t="n">
        <v>35582</v>
      </c>
      <c r="B183" s="294" t="s">
        <v>459</v>
      </c>
      <c r="C183" s="294" t="s">
        <v>460</v>
      </c>
      <c r="D183" s="294" t="s">
        <v>463</v>
      </c>
      <c r="E183" s="493" t="n">
        <v>175296</v>
      </c>
      <c r="F183" s="360" t="n">
        <f aca="false">E183/30</f>
        <v>5843.2</v>
      </c>
      <c r="G183" s="493" t="n">
        <v>5258.88</v>
      </c>
    </row>
    <row r="184" customFormat="false" ht="12.75" hidden="false" customHeight="false" outlineLevel="0" collapsed="false">
      <c r="A184" s="375" t="n">
        <v>35643</v>
      </c>
      <c r="B184" s="294" t="s">
        <v>459</v>
      </c>
      <c r="C184" s="294" t="s">
        <v>460</v>
      </c>
      <c r="D184" s="294" t="s">
        <v>463</v>
      </c>
      <c r="E184" s="294" t="n">
        <v>0</v>
      </c>
      <c r="F184" s="360" t="n">
        <f aca="false">E184/31</f>
        <v>0</v>
      </c>
      <c r="G184" s="294" t="n">
        <v>-25.55</v>
      </c>
    </row>
    <row r="185" customFormat="false" ht="12.75" hidden="false" customHeight="false" outlineLevel="0" collapsed="false">
      <c r="A185" s="375" t="n">
        <v>35704</v>
      </c>
      <c r="B185" s="294" t="s">
        <v>459</v>
      </c>
      <c r="C185" s="294" t="s">
        <v>460</v>
      </c>
      <c r="D185" s="294" t="s">
        <v>463</v>
      </c>
      <c r="E185" s="294" t="n">
        <v>0</v>
      </c>
      <c r="F185" s="360" t="n">
        <f aca="false">E185/31</f>
        <v>0</v>
      </c>
      <c r="G185" s="294" t="n">
        <v>0</v>
      </c>
    </row>
    <row r="186" customFormat="false" ht="12.75" hidden="false" customHeight="false" outlineLevel="0" collapsed="false">
      <c r="A186" s="375" t="n">
        <v>35765</v>
      </c>
      <c r="B186" s="294" t="s">
        <v>459</v>
      </c>
      <c r="C186" s="294" t="s">
        <v>460</v>
      </c>
      <c r="D186" s="294" t="s">
        <v>463</v>
      </c>
      <c r="E186" s="493" t="n">
        <v>62551</v>
      </c>
      <c r="F186" s="360" t="n">
        <f aca="false">E186/31</f>
        <v>2017.77419354839</v>
      </c>
      <c r="G186" s="493" t="n">
        <v>2502.04</v>
      </c>
    </row>
    <row r="187" customFormat="false" ht="12.75" hidden="false" customHeight="false" outlineLevel="0" collapsed="false">
      <c r="A187" s="375" t="n">
        <v>35796</v>
      </c>
      <c r="B187" s="294" t="s">
        <v>459</v>
      </c>
      <c r="C187" s="294" t="s">
        <v>460</v>
      </c>
      <c r="D187" s="294" t="s">
        <v>463</v>
      </c>
      <c r="E187" s="493" t="n">
        <v>5000</v>
      </c>
      <c r="F187" s="360" t="n">
        <f aca="false">E187/31</f>
        <v>161.290322580645</v>
      </c>
      <c r="G187" s="294" t="n">
        <v>200</v>
      </c>
    </row>
    <row r="188" customFormat="false" ht="12.75" hidden="false" customHeight="false" outlineLevel="0" collapsed="false">
      <c r="A188" s="375" t="n">
        <v>35886</v>
      </c>
      <c r="B188" s="294" t="s">
        <v>459</v>
      </c>
      <c r="C188" s="294" t="s">
        <v>460</v>
      </c>
      <c r="D188" s="294" t="s">
        <v>463</v>
      </c>
      <c r="E188" s="493" t="n">
        <v>13876</v>
      </c>
      <c r="F188" s="360" t="n">
        <f aca="false">E188/30</f>
        <v>462.533333333333</v>
      </c>
      <c r="G188" s="294" t="n">
        <v>555.04</v>
      </c>
    </row>
    <row r="189" customFormat="false" ht="12.75" hidden="false" customHeight="false" outlineLevel="0" collapsed="false">
      <c r="A189" s="375" t="n">
        <v>35916</v>
      </c>
      <c r="B189" s="294" t="s">
        <v>459</v>
      </c>
      <c r="C189" s="294" t="s">
        <v>460</v>
      </c>
      <c r="D189" s="294" t="s">
        <v>463</v>
      </c>
      <c r="E189" s="493" t="n">
        <v>19020</v>
      </c>
      <c r="F189" s="360" t="n">
        <f aca="false">E189/31</f>
        <v>613.548387096774</v>
      </c>
      <c r="G189" s="294" t="n">
        <v>760.8</v>
      </c>
    </row>
    <row r="190" customFormat="false" ht="12.75" hidden="false" customHeight="false" outlineLevel="0" collapsed="false">
      <c r="A190" s="375" t="n">
        <v>36039</v>
      </c>
      <c r="B190" s="294" t="s">
        <v>459</v>
      </c>
      <c r="C190" s="294" t="s">
        <v>460</v>
      </c>
      <c r="D190" s="294" t="s">
        <v>463</v>
      </c>
      <c r="E190" s="493" t="n">
        <v>184029</v>
      </c>
      <c r="F190" s="360" t="n">
        <f aca="false">E190/30</f>
        <v>6134.3</v>
      </c>
      <c r="G190" s="493" t="n">
        <v>2627.3</v>
      </c>
    </row>
    <row r="191" customFormat="false" ht="12.75" hidden="false" customHeight="false" outlineLevel="0" collapsed="false">
      <c r="A191" s="375" t="n">
        <v>36069</v>
      </c>
      <c r="B191" s="294" t="s">
        <v>459</v>
      </c>
      <c r="C191" s="294" t="s">
        <v>460</v>
      </c>
      <c r="D191" s="294" t="s">
        <v>463</v>
      </c>
      <c r="E191" s="493" t="n">
        <v>53427</v>
      </c>
      <c r="F191" s="360" t="n">
        <f aca="false">E191/31</f>
        <v>1723.45161290323</v>
      </c>
      <c r="G191" s="493" t="n">
        <v>3796.54</v>
      </c>
    </row>
    <row r="192" customFormat="false" ht="12.75" hidden="false" customHeight="false" outlineLevel="0" collapsed="false">
      <c r="A192" s="375" t="n">
        <v>36251</v>
      </c>
      <c r="B192" s="294" t="s">
        <v>459</v>
      </c>
      <c r="C192" s="294" t="s">
        <v>460</v>
      </c>
      <c r="D192" s="294" t="s">
        <v>463</v>
      </c>
      <c r="E192" s="493" t="n">
        <v>20942</v>
      </c>
      <c r="F192" s="360" t="n">
        <f aca="false">E192/30</f>
        <v>698.066666666667</v>
      </c>
      <c r="G192" s="493" t="n">
        <v>1047.1</v>
      </c>
    </row>
    <row r="193" customFormat="false" ht="12.75" hidden="false" customHeight="false" outlineLevel="0" collapsed="false">
      <c r="A193" s="375" t="n">
        <v>36281</v>
      </c>
      <c r="B193" s="294" t="s">
        <v>459</v>
      </c>
      <c r="C193" s="294" t="s">
        <v>460</v>
      </c>
      <c r="D193" s="294" t="s">
        <v>463</v>
      </c>
      <c r="E193" s="493" t="n">
        <v>4987</v>
      </c>
      <c r="F193" s="360" t="n">
        <f aca="false">E193/31</f>
        <v>160.870967741936</v>
      </c>
      <c r="G193" s="294" t="n">
        <v>498.7</v>
      </c>
    </row>
    <row r="194" customFormat="false" ht="12.75" hidden="false" customHeight="false" outlineLevel="0" collapsed="false">
      <c r="A194" s="375" t="n">
        <v>35431</v>
      </c>
      <c r="B194" s="294" t="s">
        <v>459</v>
      </c>
      <c r="C194" s="294" t="s">
        <v>462</v>
      </c>
      <c r="D194" s="294" t="s">
        <v>463</v>
      </c>
      <c r="E194" s="493" t="n">
        <v>116031</v>
      </c>
      <c r="F194" s="360" t="n">
        <f aca="false">E194/31</f>
        <v>3742.93548387097</v>
      </c>
      <c r="G194" s="493" t="n">
        <v>7043.48</v>
      </c>
    </row>
    <row r="195" customFormat="false" ht="12.75" hidden="false" customHeight="false" outlineLevel="0" collapsed="false">
      <c r="A195" s="375" t="n">
        <v>35462</v>
      </c>
      <c r="B195" s="294" t="s">
        <v>459</v>
      </c>
      <c r="C195" s="294" t="s">
        <v>462</v>
      </c>
      <c r="D195" s="294" t="s">
        <v>463</v>
      </c>
      <c r="E195" s="493" t="n">
        <v>311975</v>
      </c>
      <c r="F195" s="360" t="n">
        <f aca="false">E195/28</f>
        <v>11141.9642857143</v>
      </c>
      <c r="G195" s="493" t="n">
        <v>16010.26</v>
      </c>
    </row>
    <row r="196" customFormat="false" ht="12.75" hidden="false" customHeight="false" outlineLevel="0" collapsed="false">
      <c r="A196" s="375" t="n">
        <v>35490</v>
      </c>
      <c r="B196" s="294" t="s">
        <v>459</v>
      </c>
      <c r="C196" s="294" t="s">
        <v>462</v>
      </c>
      <c r="D196" s="294" t="s">
        <v>463</v>
      </c>
      <c r="E196" s="493" t="n">
        <v>50015</v>
      </c>
      <c r="F196" s="360" t="n">
        <f aca="false">E196/31</f>
        <v>1613.38709677419</v>
      </c>
      <c r="G196" s="493" t="n">
        <v>2558.2</v>
      </c>
    </row>
    <row r="197" customFormat="false" ht="12.75" hidden="false" customHeight="false" outlineLevel="0" collapsed="false">
      <c r="A197" s="375" t="n">
        <v>35521</v>
      </c>
      <c r="B197" s="294" t="s">
        <v>459</v>
      </c>
      <c r="C197" s="294" t="s">
        <v>462</v>
      </c>
      <c r="D197" s="294" t="s">
        <v>463</v>
      </c>
      <c r="E197" s="493" t="n">
        <v>10662</v>
      </c>
      <c r="F197" s="360" t="n">
        <f aca="false">E197/30</f>
        <v>355.4</v>
      </c>
      <c r="G197" s="493" t="n">
        <v>1066.2</v>
      </c>
    </row>
    <row r="198" customFormat="false" ht="12.75" hidden="false" customHeight="false" outlineLevel="0" collapsed="false">
      <c r="A198" s="375" t="n">
        <v>35551</v>
      </c>
      <c r="B198" s="294" t="s">
        <v>459</v>
      </c>
      <c r="C198" s="294" t="s">
        <v>462</v>
      </c>
      <c r="D198" s="294" t="s">
        <v>463</v>
      </c>
      <c r="E198" s="493" t="n">
        <v>12475</v>
      </c>
      <c r="F198" s="360" t="n">
        <f aca="false">E198/31</f>
        <v>402.41935483871</v>
      </c>
      <c r="G198" s="493" t="n">
        <v>1247.5</v>
      </c>
    </row>
    <row r="199" customFormat="false" ht="12.75" hidden="false" customHeight="false" outlineLevel="0" collapsed="false">
      <c r="A199" s="375" t="n">
        <v>35582</v>
      </c>
      <c r="B199" s="294" t="s">
        <v>459</v>
      </c>
      <c r="C199" s="294" t="s">
        <v>462</v>
      </c>
      <c r="D199" s="294" t="s">
        <v>463</v>
      </c>
      <c r="E199" s="493" t="n">
        <v>1319</v>
      </c>
      <c r="F199" s="360" t="n">
        <f aca="false">E199/30</f>
        <v>43.9666666666667</v>
      </c>
      <c r="G199" s="294" t="n">
        <v>131.9</v>
      </c>
    </row>
    <row r="200" customFormat="false" ht="12.75" hidden="false" customHeight="false" outlineLevel="0" collapsed="false">
      <c r="A200" s="375" t="n">
        <v>35674</v>
      </c>
      <c r="B200" s="294" t="s">
        <v>459</v>
      </c>
      <c r="C200" s="294" t="s">
        <v>462</v>
      </c>
      <c r="D200" s="294" t="s">
        <v>463</v>
      </c>
      <c r="E200" s="493" t="n">
        <v>3352</v>
      </c>
      <c r="F200" s="360" t="n">
        <f aca="false">E200/30</f>
        <v>111.733333333333</v>
      </c>
      <c r="G200" s="294" t="n">
        <v>345.59</v>
      </c>
    </row>
    <row r="201" customFormat="false" ht="12.75" hidden="false" customHeight="false" outlineLevel="0" collapsed="false">
      <c r="A201" s="375" t="n">
        <v>35704</v>
      </c>
      <c r="B201" s="294" t="s">
        <v>459</v>
      </c>
      <c r="C201" s="294" t="s">
        <v>462</v>
      </c>
      <c r="D201" s="294" t="s">
        <v>463</v>
      </c>
      <c r="E201" s="294" t="n">
        <v>0</v>
      </c>
      <c r="F201" s="360" t="n">
        <f aca="false">E201/31</f>
        <v>0</v>
      </c>
      <c r="G201" s="294" t="n">
        <v>0</v>
      </c>
    </row>
    <row r="202" customFormat="false" ht="12.75" hidden="false" customHeight="false" outlineLevel="0" collapsed="false">
      <c r="A202" s="375" t="n">
        <v>35827</v>
      </c>
      <c r="B202" s="294" t="s">
        <v>459</v>
      </c>
      <c r="C202" s="294" t="s">
        <v>462</v>
      </c>
      <c r="D202" s="294" t="s">
        <v>463</v>
      </c>
      <c r="E202" s="493" t="n">
        <v>12967</v>
      </c>
      <c r="F202" s="360" t="n">
        <f aca="false">E202/28</f>
        <v>463.107142857143</v>
      </c>
      <c r="G202" s="294" t="n">
        <v>648.35</v>
      </c>
    </row>
    <row r="203" customFormat="false" ht="12.75" hidden="false" customHeight="false" outlineLevel="0" collapsed="false">
      <c r="A203" s="375" t="n">
        <v>35855</v>
      </c>
      <c r="B203" s="294" t="s">
        <v>459</v>
      </c>
      <c r="C203" s="294" t="s">
        <v>462</v>
      </c>
      <c r="D203" s="294" t="s">
        <v>463</v>
      </c>
      <c r="E203" s="493" t="n">
        <v>14945</v>
      </c>
      <c r="F203" s="360" t="n">
        <f aca="false">E203/31</f>
        <v>482.096774193548</v>
      </c>
      <c r="G203" s="493" t="n">
        <v>1275.6</v>
      </c>
    </row>
    <row r="204" customFormat="false" ht="12.75" hidden="false" customHeight="false" outlineLevel="0" collapsed="false">
      <c r="A204" s="375" t="n">
        <v>35886</v>
      </c>
      <c r="B204" s="294" t="s">
        <v>459</v>
      </c>
      <c r="C204" s="294" t="s">
        <v>462</v>
      </c>
      <c r="D204" s="294" t="s">
        <v>463</v>
      </c>
      <c r="E204" s="493" t="n">
        <v>35740</v>
      </c>
      <c r="F204" s="360" t="n">
        <f aca="false">E204/30</f>
        <v>1191.33333333333</v>
      </c>
      <c r="G204" s="493" t="n">
        <v>3153.53</v>
      </c>
    </row>
    <row r="205" customFormat="false" ht="12.75" hidden="false" customHeight="false" outlineLevel="0" collapsed="false">
      <c r="A205" s="375" t="n">
        <v>35916</v>
      </c>
      <c r="B205" s="294" t="s">
        <v>459</v>
      </c>
      <c r="C205" s="294" t="s">
        <v>462</v>
      </c>
      <c r="D205" s="294" t="s">
        <v>463</v>
      </c>
      <c r="E205" s="493" t="n">
        <v>8132</v>
      </c>
      <c r="F205" s="360" t="n">
        <f aca="false">E205/31</f>
        <v>262.322580645161</v>
      </c>
      <c r="G205" s="294" t="n">
        <v>838.41</v>
      </c>
    </row>
    <row r="206" customFormat="false" ht="12.75" hidden="false" customHeight="false" outlineLevel="0" collapsed="false">
      <c r="A206" s="375" t="n">
        <v>35947</v>
      </c>
      <c r="B206" s="294" t="s">
        <v>459</v>
      </c>
      <c r="C206" s="294" t="s">
        <v>462</v>
      </c>
      <c r="D206" s="294" t="s">
        <v>463</v>
      </c>
      <c r="E206" s="493" t="n">
        <v>36373</v>
      </c>
      <c r="F206" s="360" t="n">
        <f aca="false">E206/30</f>
        <v>1212.43333333333</v>
      </c>
      <c r="G206" s="493" t="n">
        <v>3750.05</v>
      </c>
    </row>
    <row r="207" customFormat="false" ht="12.75" hidden="false" customHeight="false" outlineLevel="0" collapsed="false">
      <c r="A207" s="375" t="n">
        <v>35977</v>
      </c>
      <c r="B207" s="294" t="s">
        <v>459</v>
      </c>
      <c r="C207" s="294" t="s">
        <v>462</v>
      </c>
      <c r="D207" s="294" t="s">
        <v>463</v>
      </c>
      <c r="E207" s="493" t="n">
        <v>18005</v>
      </c>
      <c r="F207" s="360" t="n">
        <f aca="false">E207/31</f>
        <v>580.806451612903</v>
      </c>
      <c r="G207" s="493" t="n">
        <v>1856.32</v>
      </c>
    </row>
    <row r="208" customFormat="false" ht="12.75" hidden="false" customHeight="false" outlineLevel="0" collapsed="false">
      <c r="A208" s="375" t="n">
        <v>36100</v>
      </c>
      <c r="B208" s="294" t="s">
        <v>459</v>
      </c>
      <c r="C208" s="294" t="s">
        <v>462</v>
      </c>
      <c r="D208" s="294" t="s">
        <v>463</v>
      </c>
      <c r="E208" s="294" t="n">
        <v>532</v>
      </c>
      <c r="F208" s="360" t="n">
        <f aca="false">E208/30</f>
        <v>17.7333333333333</v>
      </c>
      <c r="G208" s="294" t="n">
        <v>15.96</v>
      </c>
    </row>
    <row r="209" customFormat="false" ht="12.75" hidden="false" customHeight="false" outlineLevel="0" collapsed="false">
      <c r="A209" s="375" t="n">
        <v>35796</v>
      </c>
      <c r="B209" s="294" t="s">
        <v>459</v>
      </c>
      <c r="C209" s="294" t="s">
        <v>463</v>
      </c>
      <c r="D209" s="294" t="s">
        <v>463</v>
      </c>
      <c r="E209" s="493" t="n">
        <v>2428</v>
      </c>
      <c r="F209" s="360" t="n">
        <f aca="false">E209/31</f>
        <v>78.3225806451613</v>
      </c>
      <c r="G209" s="294" t="n">
        <v>2.67</v>
      </c>
    </row>
    <row r="210" customFormat="false" ht="12.75" hidden="false" customHeight="false" outlineLevel="0" collapsed="false">
      <c r="A210" s="375" t="n">
        <v>35827</v>
      </c>
      <c r="B210" s="294" t="s">
        <v>459</v>
      </c>
      <c r="C210" s="294" t="s">
        <v>463</v>
      </c>
      <c r="D210" s="294" t="s">
        <v>463</v>
      </c>
      <c r="E210" s="493" t="n">
        <v>25934</v>
      </c>
      <c r="F210" s="360" t="n">
        <f aca="false">E210/28</f>
        <v>926.214285714286</v>
      </c>
      <c r="G210" s="294" t="n">
        <v>28.53</v>
      </c>
    </row>
    <row r="211" customFormat="false" ht="12.75" hidden="false" customHeight="false" outlineLevel="0" collapsed="false">
      <c r="A211" s="375" t="n">
        <v>35855</v>
      </c>
      <c r="B211" s="294" t="s">
        <v>459</v>
      </c>
      <c r="C211" s="294" t="s">
        <v>463</v>
      </c>
      <c r="D211" s="294" t="s">
        <v>463</v>
      </c>
      <c r="E211" s="493" t="n">
        <v>39895</v>
      </c>
      <c r="F211" s="360" t="n">
        <f aca="false">E211/31</f>
        <v>1286.93548387097</v>
      </c>
      <c r="G211" s="294" t="n">
        <v>0</v>
      </c>
    </row>
    <row r="212" customFormat="false" ht="12.75" hidden="false" customHeight="false" outlineLevel="0" collapsed="false">
      <c r="A212" s="375" t="n">
        <v>35886</v>
      </c>
      <c r="B212" s="294" t="s">
        <v>459</v>
      </c>
      <c r="C212" s="294" t="s">
        <v>463</v>
      </c>
      <c r="D212" s="294" t="s">
        <v>463</v>
      </c>
      <c r="E212" s="493" t="n">
        <v>10005</v>
      </c>
      <c r="F212" s="360" t="n">
        <f aca="false">E212/30</f>
        <v>333.5</v>
      </c>
      <c r="G212" s="294" t="n">
        <v>0</v>
      </c>
    </row>
    <row r="213" customFormat="false" ht="12.75" hidden="false" customHeight="false" outlineLevel="0" collapsed="false">
      <c r="A213" s="375" t="n">
        <v>35947</v>
      </c>
      <c r="B213" s="294" t="s">
        <v>459</v>
      </c>
      <c r="C213" s="294" t="s">
        <v>463</v>
      </c>
      <c r="D213" s="294" t="s">
        <v>463</v>
      </c>
      <c r="E213" s="493" t="n">
        <v>20000</v>
      </c>
      <c r="F213" s="360" t="n">
        <f aca="false">E213/30</f>
        <v>666.666666666667</v>
      </c>
      <c r="G213" s="294" t="n">
        <v>0</v>
      </c>
    </row>
    <row r="214" customFormat="false" ht="12.75" hidden="false" customHeight="false" outlineLevel="0" collapsed="false">
      <c r="A214" s="375" t="n">
        <v>35977</v>
      </c>
      <c r="B214" s="294" t="s">
        <v>461</v>
      </c>
      <c r="C214" s="294" t="s">
        <v>463</v>
      </c>
      <c r="D214" s="294" t="s">
        <v>463</v>
      </c>
      <c r="E214" s="294" t="n">
        <v>0</v>
      </c>
      <c r="F214" s="360" t="n">
        <f aca="false">E214/31</f>
        <v>0</v>
      </c>
      <c r="G214" s="294" t="n">
        <v>44</v>
      </c>
    </row>
    <row r="215" customFormat="false" ht="12.75" hidden="false" customHeight="false" outlineLevel="0" collapsed="false">
      <c r="A215" s="375" t="n">
        <v>36161</v>
      </c>
      <c r="B215" s="294" t="s">
        <v>459</v>
      </c>
      <c r="C215" s="294" t="s">
        <v>463</v>
      </c>
      <c r="D215" s="294" t="s">
        <v>463</v>
      </c>
      <c r="E215" s="493" t="n">
        <v>30000</v>
      </c>
      <c r="F215" s="360" t="n">
        <f aca="false">E215/31</f>
        <v>967.741935483871</v>
      </c>
      <c r="G215" s="294" t="n">
        <v>0</v>
      </c>
    </row>
    <row r="216" customFormat="false" ht="12.75" hidden="false" customHeight="false" outlineLevel="0" collapsed="false">
      <c r="A216" s="375" t="n">
        <v>36192</v>
      </c>
      <c r="B216" s="294" t="s">
        <v>459</v>
      </c>
      <c r="C216" s="294" t="s">
        <v>463</v>
      </c>
      <c r="D216" s="294" t="s">
        <v>463</v>
      </c>
      <c r="E216" s="493" t="n">
        <v>105000</v>
      </c>
      <c r="F216" s="360" t="n">
        <f aca="false">E216/29</f>
        <v>3620.68965517241</v>
      </c>
      <c r="G216" s="294" t="n">
        <v>0</v>
      </c>
    </row>
    <row r="217" customFormat="false" ht="12.75" hidden="false" customHeight="false" outlineLevel="0" collapsed="false">
      <c r="A217" s="375" t="n">
        <v>36220</v>
      </c>
      <c r="B217" s="294" t="s">
        <v>459</v>
      </c>
      <c r="C217" s="294" t="s">
        <v>463</v>
      </c>
      <c r="D217" s="294" t="s">
        <v>463</v>
      </c>
      <c r="E217" s="493" t="n">
        <v>80678</v>
      </c>
      <c r="F217" s="360" t="n">
        <f aca="false">E217/31</f>
        <v>2602.51612903226</v>
      </c>
      <c r="G217" s="294" t="n">
        <v>0</v>
      </c>
    </row>
    <row r="218" customFormat="false" ht="12.75" hidden="false" customHeight="false" outlineLevel="0" collapsed="false">
      <c r="A218" s="375" t="n">
        <v>35431</v>
      </c>
      <c r="B218" s="294" t="s">
        <v>459</v>
      </c>
      <c r="C218" s="294" t="s">
        <v>464</v>
      </c>
      <c r="D218" s="294" t="s">
        <v>463</v>
      </c>
      <c r="E218" s="493" t="n">
        <v>48850</v>
      </c>
      <c r="F218" s="360" t="n">
        <f aca="false">E218/31</f>
        <v>1575.8064516129</v>
      </c>
      <c r="G218" s="493" t="n">
        <v>1465.5</v>
      </c>
    </row>
    <row r="219" customFormat="false" ht="12.75" hidden="false" customHeight="false" outlineLevel="0" collapsed="false">
      <c r="A219" s="375" t="n">
        <v>35947</v>
      </c>
      <c r="B219" s="294" t="s">
        <v>459</v>
      </c>
      <c r="C219" s="294" t="s">
        <v>464</v>
      </c>
      <c r="D219" s="294" t="s">
        <v>463</v>
      </c>
      <c r="E219" s="493" t="n">
        <v>16117</v>
      </c>
      <c r="F219" s="360" t="n">
        <f aca="false">E219/30</f>
        <v>537.233333333333</v>
      </c>
      <c r="G219" s="294" t="n">
        <v>483.51</v>
      </c>
    </row>
    <row r="220" customFormat="false" ht="12.75" hidden="false" customHeight="false" outlineLevel="0" collapsed="false">
      <c r="A220" s="375" t="n">
        <v>35977</v>
      </c>
      <c r="B220" s="294" t="s">
        <v>459</v>
      </c>
      <c r="C220" s="294" t="s">
        <v>464</v>
      </c>
      <c r="D220" s="294" t="s">
        <v>463</v>
      </c>
      <c r="E220" s="493" t="n">
        <v>6779</v>
      </c>
      <c r="F220" s="360" t="n">
        <f aca="false">E220/31</f>
        <v>218.677419354839</v>
      </c>
      <c r="G220" s="294" t="n">
        <v>203.37</v>
      </c>
    </row>
    <row r="221" customFormat="false" ht="12.75" hidden="false" customHeight="false" outlineLevel="0" collapsed="false">
      <c r="A221" s="375" t="n">
        <v>36069</v>
      </c>
      <c r="B221" s="294" t="s">
        <v>459</v>
      </c>
      <c r="C221" s="294" t="s">
        <v>464</v>
      </c>
      <c r="D221" s="294" t="s">
        <v>463</v>
      </c>
      <c r="E221" s="493" t="n">
        <v>36622</v>
      </c>
      <c r="F221" s="360" t="n">
        <f aca="false">E221/31</f>
        <v>1181.35483870968</v>
      </c>
      <c r="G221" s="294" t="n">
        <v>915.55</v>
      </c>
    </row>
    <row r="222" customFormat="false" ht="12.75" hidden="false" customHeight="false" outlineLevel="0" collapsed="false">
      <c r="A222" s="375" t="n">
        <v>36373</v>
      </c>
      <c r="B222" s="294" t="s">
        <v>459</v>
      </c>
      <c r="C222" s="294" t="s">
        <v>464</v>
      </c>
      <c r="D222" s="294" t="s">
        <v>463</v>
      </c>
      <c r="E222" s="493" t="n">
        <v>23783</v>
      </c>
      <c r="F222" s="360" t="n">
        <f aca="false">E222/31</f>
        <v>767.193548387097</v>
      </c>
      <c r="G222" s="294" t="n">
        <v>713.49</v>
      </c>
    </row>
    <row r="223" customFormat="false" ht="12.75" hidden="false" customHeight="false" outlineLevel="0" collapsed="false">
      <c r="A223" s="375" t="n">
        <v>35431</v>
      </c>
      <c r="B223" s="294" t="s">
        <v>459</v>
      </c>
      <c r="C223" s="294" t="s">
        <v>460</v>
      </c>
      <c r="D223" s="294" t="s">
        <v>464</v>
      </c>
      <c r="E223" s="493" t="n">
        <v>598802</v>
      </c>
      <c r="F223" s="360" t="n">
        <f aca="false">E223/31</f>
        <v>19316.1935483871</v>
      </c>
      <c r="G223" s="493" t="n">
        <v>27401.45</v>
      </c>
    </row>
    <row r="224" customFormat="false" ht="12.75" hidden="false" customHeight="false" outlineLevel="0" collapsed="false">
      <c r="A224" s="375" t="n">
        <v>35462</v>
      </c>
      <c r="B224" s="294" t="s">
        <v>459</v>
      </c>
      <c r="C224" s="294" t="s">
        <v>460</v>
      </c>
      <c r="D224" s="294" t="s">
        <v>464</v>
      </c>
      <c r="E224" s="493" t="n">
        <v>424616</v>
      </c>
      <c r="F224" s="360" t="n">
        <f aca="false">E224/28</f>
        <v>15164.8571428571</v>
      </c>
      <c r="G224" s="493" t="n">
        <v>14276.2</v>
      </c>
    </row>
    <row r="225" customFormat="false" ht="12.75" hidden="false" customHeight="false" outlineLevel="0" collapsed="false">
      <c r="A225" s="375" t="n">
        <v>35490</v>
      </c>
      <c r="B225" s="294" t="s">
        <v>459</v>
      </c>
      <c r="C225" s="294" t="s">
        <v>460</v>
      </c>
      <c r="D225" s="294" t="s">
        <v>464</v>
      </c>
      <c r="E225" s="493" t="n">
        <v>808389</v>
      </c>
      <c r="F225" s="360" t="n">
        <f aca="false">E225/31</f>
        <v>26077.064516129</v>
      </c>
      <c r="G225" s="493" t="n">
        <v>24479.71</v>
      </c>
    </row>
    <row r="226" customFormat="false" ht="12.75" hidden="false" customHeight="false" outlineLevel="0" collapsed="false">
      <c r="A226" s="375" t="n">
        <v>35521</v>
      </c>
      <c r="B226" s="294" t="s">
        <v>459</v>
      </c>
      <c r="C226" s="294" t="s">
        <v>460</v>
      </c>
      <c r="D226" s="294" t="s">
        <v>464</v>
      </c>
      <c r="E226" s="493" t="n">
        <v>2197122</v>
      </c>
      <c r="F226" s="360" t="n">
        <f aca="false">E226/30</f>
        <v>73237.4</v>
      </c>
      <c r="G226" s="493" t="n">
        <v>66050.02</v>
      </c>
    </row>
    <row r="227" customFormat="false" ht="12.75" hidden="false" customHeight="false" outlineLevel="0" collapsed="false">
      <c r="A227" s="375" t="n">
        <v>35551</v>
      </c>
      <c r="B227" s="294" t="s">
        <v>459</v>
      </c>
      <c r="C227" s="294" t="s">
        <v>460</v>
      </c>
      <c r="D227" s="294" t="s">
        <v>464</v>
      </c>
      <c r="E227" s="493" t="n">
        <v>1614672</v>
      </c>
      <c r="F227" s="360" t="n">
        <f aca="false">E227/31</f>
        <v>52086.1935483871</v>
      </c>
      <c r="G227" s="493" t="n">
        <v>50004.28</v>
      </c>
    </row>
    <row r="228" customFormat="false" ht="12.75" hidden="false" customHeight="false" outlineLevel="0" collapsed="false">
      <c r="A228" s="375" t="n">
        <v>35582</v>
      </c>
      <c r="B228" s="294" t="s">
        <v>459</v>
      </c>
      <c r="C228" s="294" t="s">
        <v>460</v>
      </c>
      <c r="D228" s="294" t="s">
        <v>464</v>
      </c>
      <c r="E228" s="493" t="n">
        <v>2699828</v>
      </c>
      <c r="F228" s="360" t="n">
        <f aca="false">E228/30</f>
        <v>89994.2666666667</v>
      </c>
      <c r="G228" s="493" t="n">
        <v>86402.98</v>
      </c>
    </row>
    <row r="229" customFormat="false" ht="12.75" hidden="false" customHeight="false" outlineLevel="0" collapsed="false">
      <c r="A229" s="375" t="n">
        <v>35612</v>
      </c>
      <c r="B229" s="294" t="s">
        <v>459</v>
      </c>
      <c r="C229" s="294" t="s">
        <v>460</v>
      </c>
      <c r="D229" s="294" t="s">
        <v>464</v>
      </c>
      <c r="E229" s="493" t="n">
        <v>1547073</v>
      </c>
      <c r="F229" s="360" t="n">
        <f aca="false">E229/31</f>
        <v>49905.5806451613</v>
      </c>
      <c r="G229" s="493" t="n">
        <v>118794.77</v>
      </c>
    </row>
    <row r="230" customFormat="false" ht="12.75" hidden="false" customHeight="false" outlineLevel="0" collapsed="false">
      <c r="A230" s="375" t="n">
        <v>35643</v>
      </c>
      <c r="B230" s="294" t="s">
        <v>459</v>
      </c>
      <c r="C230" s="294" t="s">
        <v>460</v>
      </c>
      <c r="D230" s="294" t="s">
        <v>464</v>
      </c>
      <c r="E230" s="493" t="n">
        <v>1757050</v>
      </c>
      <c r="F230" s="360" t="n">
        <f aca="false">E230/31</f>
        <v>56679.0322580645</v>
      </c>
      <c r="G230" s="493" t="n">
        <v>55289.62</v>
      </c>
    </row>
    <row r="231" customFormat="false" ht="12.75" hidden="false" customHeight="false" outlineLevel="0" collapsed="false">
      <c r="A231" s="375" t="n">
        <v>35674</v>
      </c>
      <c r="B231" s="294" t="s">
        <v>461</v>
      </c>
      <c r="C231" s="294" t="s">
        <v>460</v>
      </c>
      <c r="D231" s="294" t="s">
        <v>464</v>
      </c>
      <c r="E231" s="294" t="n">
        <v>0</v>
      </c>
      <c r="F231" s="360" t="n">
        <f aca="false">E231/30</f>
        <v>0</v>
      </c>
      <c r="G231" s="294" t="n">
        <v>-247.78</v>
      </c>
    </row>
    <row r="232" customFormat="false" ht="12.75" hidden="false" customHeight="false" outlineLevel="0" collapsed="false">
      <c r="A232" s="375" t="n">
        <v>35674</v>
      </c>
      <c r="B232" s="294" t="s">
        <v>459</v>
      </c>
      <c r="C232" s="294" t="s">
        <v>460</v>
      </c>
      <c r="D232" s="294" t="s">
        <v>464</v>
      </c>
      <c r="E232" s="493" t="n">
        <v>1771790</v>
      </c>
      <c r="F232" s="360" t="n">
        <f aca="false">E232/30</f>
        <v>59059.6666666667</v>
      </c>
      <c r="G232" s="493" t="n">
        <v>69931.2</v>
      </c>
    </row>
    <row r="233" customFormat="false" ht="12.75" hidden="false" customHeight="false" outlineLevel="0" collapsed="false">
      <c r="A233" s="375" t="n">
        <v>35704</v>
      </c>
      <c r="B233" s="294" t="s">
        <v>459</v>
      </c>
      <c r="C233" s="294" t="s">
        <v>460</v>
      </c>
      <c r="D233" s="294" t="s">
        <v>464</v>
      </c>
      <c r="E233" s="493" t="n">
        <v>1471431</v>
      </c>
      <c r="F233" s="360" t="n">
        <f aca="false">E233/31</f>
        <v>47465.5161290323</v>
      </c>
      <c r="G233" s="493" t="n">
        <v>63032.34</v>
      </c>
    </row>
    <row r="234" customFormat="false" ht="12.75" hidden="false" customHeight="false" outlineLevel="0" collapsed="false">
      <c r="A234" s="375" t="n">
        <v>35735</v>
      </c>
      <c r="B234" s="294" t="s">
        <v>461</v>
      </c>
      <c r="C234" s="294" t="s">
        <v>460</v>
      </c>
      <c r="D234" s="294" t="s">
        <v>464</v>
      </c>
      <c r="E234" s="294" t="n">
        <v>0</v>
      </c>
      <c r="F234" s="360" t="n">
        <f aca="false">E234/30</f>
        <v>0</v>
      </c>
      <c r="G234" s="493" t="n">
        <v>-81470.7</v>
      </c>
    </row>
    <row r="235" customFormat="false" ht="12.75" hidden="false" customHeight="false" outlineLevel="0" collapsed="false">
      <c r="A235" s="375" t="n">
        <v>35735</v>
      </c>
      <c r="B235" s="294" t="s">
        <v>459</v>
      </c>
      <c r="C235" s="294" t="s">
        <v>460</v>
      </c>
      <c r="D235" s="294" t="s">
        <v>464</v>
      </c>
      <c r="E235" s="493" t="n">
        <v>946443</v>
      </c>
      <c r="F235" s="360" t="n">
        <f aca="false">E235/30</f>
        <v>31548.1</v>
      </c>
      <c r="G235" s="493" t="n">
        <v>35977.94</v>
      </c>
    </row>
    <row r="236" customFormat="false" ht="12.75" hidden="false" customHeight="false" outlineLevel="0" collapsed="false">
      <c r="A236" s="375" t="n">
        <v>35765</v>
      </c>
      <c r="B236" s="294" t="s">
        <v>461</v>
      </c>
      <c r="C236" s="294" t="s">
        <v>460</v>
      </c>
      <c r="D236" s="294" t="s">
        <v>464</v>
      </c>
      <c r="E236" s="294" t="n">
        <v>0</v>
      </c>
      <c r="F236" s="360" t="n">
        <f aca="false">E236/31</f>
        <v>0</v>
      </c>
      <c r="G236" s="493" t="n">
        <v>12099.38</v>
      </c>
    </row>
    <row r="237" customFormat="false" ht="12.75" hidden="false" customHeight="false" outlineLevel="0" collapsed="false">
      <c r="A237" s="375" t="n">
        <v>35765</v>
      </c>
      <c r="B237" s="294" t="s">
        <v>459</v>
      </c>
      <c r="C237" s="294" t="s">
        <v>460</v>
      </c>
      <c r="D237" s="294" t="s">
        <v>464</v>
      </c>
      <c r="E237" s="493" t="n">
        <v>1305256</v>
      </c>
      <c r="F237" s="360" t="n">
        <f aca="false">E237/31</f>
        <v>42105.0322580645</v>
      </c>
      <c r="G237" s="493" t="n">
        <v>47612.6</v>
      </c>
    </row>
    <row r="238" customFormat="false" ht="12.75" hidden="false" customHeight="false" outlineLevel="0" collapsed="false">
      <c r="A238" s="375" t="n">
        <v>35796</v>
      </c>
      <c r="B238" s="294" t="s">
        <v>459</v>
      </c>
      <c r="C238" s="294" t="s">
        <v>460</v>
      </c>
      <c r="D238" s="294" t="s">
        <v>464</v>
      </c>
      <c r="E238" s="493" t="n">
        <v>799065</v>
      </c>
      <c r="F238" s="360" t="n">
        <f aca="false">E238/31</f>
        <v>25776.2903225806</v>
      </c>
      <c r="G238" s="493" t="n">
        <v>32704.11</v>
      </c>
    </row>
    <row r="239" customFormat="false" ht="12.75" hidden="false" customHeight="false" outlineLevel="0" collapsed="false">
      <c r="A239" s="375" t="n">
        <v>35827</v>
      </c>
      <c r="B239" s="294" t="s">
        <v>459</v>
      </c>
      <c r="C239" s="294" t="s">
        <v>460</v>
      </c>
      <c r="D239" s="294" t="s">
        <v>464</v>
      </c>
      <c r="E239" s="493" t="n">
        <v>106458</v>
      </c>
      <c r="F239" s="360" t="n">
        <f aca="false">E239/28</f>
        <v>3802.07142857143</v>
      </c>
      <c r="G239" s="493" t="n">
        <v>9712.89</v>
      </c>
    </row>
    <row r="240" customFormat="false" ht="12.75" hidden="false" customHeight="false" outlineLevel="0" collapsed="false">
      <c r="A240" s="375" t="n">
        <v>35855</v>
      </c>
      <c r="B240" s="294" t="s">
        <v>459</v>
      </c>
      <c r="C240" s="294" t="s">
        <v>460</v>
      </c>
      <c r="D240" s="294" t="s">
        <v>464</v>
      </c>
      <c r="E240" s="493" t="n">
        <v>105142</v>
      </c>
      <c r="F240" s="360" t="n">
        <f aca="false">E240/31</f>
        <v>3391.67741935484</v>
      </c>
      <c r="G240" s="493" t="n">
        <v>12770.05</v>
      </c>
    </row>
    <row r="241" customFormat="false" ht="12.75" hidden="false" customHeight="false" outlineLevel="0" collapsed="false">
      <c r="A241" s="375" t="n">
        <v>35886</v>
      </c>
      <c r="B241" s="294" t="s">
        <v>459</v>
      </c>
      <c r="C241" s="294" t="s">
        <v>460</v>
      </c>
      <c r="D241" s="294" t="s">
        <v>464</v>
      </c>
      <c r="E241" s="493" t="n">
        <v>210129</v>
      </c>
      <c r="F241" s="360" t="n">
        <f aca="false">E241/30</f>
        <v>7004.3</v>
      </c>
      <c r="G241" s="493" t="n">
        <v>20359.65</v>
      </c>
    </row>
    <row r="242" customFormat="false" ht="12.75" hidden="false" customHeight="false" outlineLevel="0" collapsed="false">
      <c r="A242" s="375" t="n">
        <v>35916</v>
      </c>
      <c r="B242" s="294" t="s">
        <v>459</v>
      </c>
      <c r="C242" s="294" t="s">
        <v>460</v>
      </c>
      <c r="D242" s="294" t="s">
        <v>464</v>
      </c>
      <c r="E242" s="493" t="n">
        <v>170726</v>
      </c>
      <c r="F242" s="360" t="n">
        <f aca="false">E242/31</f>
        <v>5507.29032258065</v>
      </c>
      <c r="G242" s="493" t="n">
        <v>18627.46</v>
      </c>
    </row>
    <row r="243" customFormat="false" ht="12.75" hidden="false" customHeight="false" outlineLevel="0" collapsed="false">
      <c r="A243" s="375" t="n">
        <v>35947</v>
      </c>
      <c r="B243" s="294" t="s">
        <v>461</v>
      </c>
      <c r="C243" s="294" t="s">
        <v>460</v>
      </c>
      <c r="D243" s="294" t="s">
        <v>464</v>
      </c>
      <c r="E243" s="294" t="n">
        <v>-689</v>
      </c>
      <c r="F243" s="360" t="n">
        <f aca="false">E243/30</f>
        <v>-22.9666666666667</v>
      </c>
      <c r="G243" s="294" t="n">
        <v>-55.12</v>
      </c>
    </row>
    <row r="244" customFormat="false" ht="12.75" hidden="false" customHeight="false" outlineLevel="0" collapsed="false">
      <c r="A244" s="375" t="n">
        <v>35947</v>
      </c>
      <c r="B244" s="294" t="s">
        <v>459</v>
      </c>
      <c r="C244" s="294" t="s">
        <v>460</v>
      </c>
      <c r="D244" s="294" t="s">
        <v>464</v>
      </c>
      <c r="E244" s="493" t="n">
        <v>252693</v>
      </c>
      <c r="F244" s="360" t="n">
        <f aca="false">E244/30</f>
        <v>8423.1</v>
      </c>
      <c r="G244" s="493" t="n">
        <v>23550.6</v>
      </c>
    </row>
    <row r="245" customFormat="false" ht="12.75" hidden="false" customHeight="false" outlineLevel="0" collapsed="false">
      <c r="A245" s="375" t="n">
        <v>35977</v>
      </c>
      <c r="B245" s="294" t="s">
        <v>459</v>
      </c>
      <c r="C245" s="294" t="s">
        <v>460</v>
      </c>
      <c r="D245" s="294" t="s">
        <v>464</v>
      </c>
      <c r="E245" s="493" t="n">
        <v>169109</v>
      </c>
      <c r="F245" s="360" t="n">
        <f aca="false">E245/31</f>
        <v>5455.12903225806</v>
      </c>
      <c r="G245" s="493" t="n">
        <v>18385.46</v>
      </c>
    </row>
    <row r="246" customFormat="false" ht="12.75" hidden="false" customHeight="false" outlineLevel="0" collapsed="false">
      <c r="A246" s="375" t="n">
        <v>36008</v>
      </c>
      <c r="B246" s="294" t="s">
        <v>459</v>
      </c>
      <c r="C246" s="294" t="s">
        <v>460</v>
      </c>
      <c r="D246" s="294" t="s">
        <v>464</v>
      </c>
      <c r="E246" s="493" t="n">
        <v>53543</v>
      </c>
      <c r="F246" s="360" t="n">
        <f aca="false">E246/31</f>
        <v>1727.1935483871</v>
      </c>
      <c r="G246" s="493" t="n">
        <v>8052.12</v>
      </c>
    </row>
    <row r="247" customFormat="false" ht="12.75" hidden="false" customHeight="false" outlineLevel="0" collapsed="false">
      <c r="A247" s="375" t="n">
        <v>36039</v>
      </c>
      <c r="B247" s="294" t="s">
        <v>459</v>
      </c>
      <c r="C247" s="294" t="s">
        <v>460</v>
      </c>
      <c r="D247" s="294" t="s">
        <v>464</v>
      </c>
      <c r="E247" s="493" t="n">
        <v>36727</v>
      </c>
      <c r="F247" s="360" t="n">
        <f aca="false">E247/30</f>
        <v>1224.23333333333</v>
      </c>
      <c r="G247" s="493" t="n">
        <v>7345.4</v>
      </c>
    </row>
    <row r="248" customFormat="false" ht="12.75" hidden="false" customHeight="false" outlineLevel="0" collapsed="false">
      <c r="A248" s="375" t="n">
        <v>36069</v>
      </c>
      <c r="B248" s="294" t="s">
        <v>459</v>
      </c>
      <c r="C248" s="294" t="s">
        <v>460</v>
      </c>
      <c r="D248" s="294" t="s">
        <v>464</v>
      </c>
      <c r="E248" s="493" t="n">
        <v>231685</v>
      </c>
      <c r="F248" s="360" t="n">
        <f aca="false">E248/31</f>
        <v>7473.70967741936</v>
      </c>
      <c r="G248" s="493" t="n">
        <v>48851.36</v>
      </c>
    </row>
    <row r="249" customFormat="false" ht="12.75" hidden="false" customHeight="false" outlineLevel="0" collapsed="false">
      <c r="A249" s="375" t="n">
        <v>36100</v>
      </c>
      <c r="B249" s="294" t="s">
        <v>459</v>
      </c>
      <c r="C249" s="294" t="s">
        <v>460</v>
      </c>
      <c r="D249" s="294" t="s">
        <v>464</v>
      </c>
      <c r="E249" s="493" t="n">
        <v>30214</v>
      </c>
      <c r="F249" s="360" t="n">
        <f aca="false">E249/30</f>
        <v>1007.13333333333</v>
      </c>
      <c r="G249" s="493" t="n">
        <v>4141.78</v>
      </c>
    </row>
    <row r="250" customFormat="false" ht="12.75" hidden="false" customHeight="false" outlineLevel="0" collapsed="false">
      <c r="A250" s="375" t="n">
        <v>36130</v>
      </c>
      <c r="B250" s="294" t="s">
        <v>459</v>
      </c>
      <c r="C250" s="294" t="s">
        <v>460</v>
      </c>
      <c r="D250" s="294" t="s">
        <v>464</v>
      </c>
      <c r="E250" s="493" t="n">
        <v>4410</v>
      </c>
      <c r="F250" s="360" t="n">
        <f aca="false">E250/31</f>
        <v>142.258064516129</v>
      </c>
      <c r="G250" s="493" t="n">
        <v>1102.5</v>
      </c>
    </row>
    <row r="251" customFormat="false" ht="12.75" hidden="false" customHeight="false" outlineLevel="0" collapsed="false">
      <c r="A251" s="375" t="n">
        <v>36161</v>
      </c>
      <c r="B251" s="294" t="s">
        <v>459</v>
      </c>
      <c r="C251" s="294" t="s">
        <v>460</v>
      </c>
      <c r="D251" s="294" t="s">
        <v>464</v>
      </c>
      <c r="E251" s="493" t="n">
        <v>4275</v>
      </c>
      <c r="F251" s="360" t="n">
        <f aca="false">E251/31</f>
        <v>137.903225806452</v>
      </c>
      <c r="G251" s="294" t="n">
        <v>299.25</v>
      </c>
    </row>
    <row r="252" customFormat="false" ht="12.75" hidden="false" customHeight="false" outlineLevel="0" collapsed="false">
      <c r="A252" s="375" t="n">
        <v>36192</v>
      </c>
      <c r="B252" s="294" t="s">
        <v>459</v>
      </c>
      <c r="C252" s="294" t="s">
        <v>460</v>
      </c>
      <c r="D252" s="294" t="s">
        <v>464</v>
      </c>
      <c r="E252" s="493" t="n">
        <v>42802</v>
      </c>
      <c r="F252" s="360" t="n">
        <f aca="false">E252/29</f>
        <v>1475.93103448276</v>
      </c>
      <c r="G252" s="493" t="n">
        <v>3442.12</v>
      </c>
    </row>
    <row r="253" customFormat="false" ht="12.75" hidden="false" customHeight="false" outlineLevel="0" collapsed="false">
      <c r="A253" s="375" t="n">
        <v>36220</v>
      </c>
      <c r="B253" s="294" t="s">
        <v>459</v>
      </c>
      <c r="C253" s="294" t="s">
        <v>460</v>
      </c>
      <c r="D253" s="294" t="s">
        <v>464</v>
      </c>
      <c r="E253" s="493" t="n">
        <v>10892</v>
      </c>
      <c r="F253" s="360" t="n">
        <f aca="false">E253/31</f>
        <v>351.354838709677</v>
      </c>
      <c r="G253" s="294" t="n">
        <v>825.42</v>
      </c>
    </row>
    <row r="254" customFormat="false" ht="12.75" hidden="false" customHeight="false" outlineLevel="0" collapsed="false">
      <c r="A254" s="375" t="n">
        <v>36251</v>
      </c>
      <c r="B254" s="294" t="s">
        <v>459</v>
      </c>
      <c r="C254" s="294" t="s">
        <v>460</v>
      </c>
      <c r="D254" s="294" t="s">
        <v>464</v>
      </c>
      <c r="E254" s="493" t="n">
        <v>161958</v>
      </c>
      <c r="F254" s="360" t="n">
        <f aca="false">E254/30</f>
        <v>5398.6</v>
      </c>
      <c r="G254" s="493" t="n">
        <v>13348.92</v>
      </c>
    </row>
    <row r="255" customFormat="false" ht="12.75" hidden="false" customHeight="false" outlineLevel="0" collapsed="false">
      <c r="A255" s="375" t="n">
        <v>36281</v>
      </c>
      <c r="B255" s="294" t="s">
        <v>459</v>
      </c>
      <c r="C255" s="294" t="s">
        <v>460</v>
      </c>
      <c r="D255" s="294" t="s">
        <v>464</v>
      </c>
      <c r="E255" s="493" t="n">
        <v>12709</v>
      </c>
      <c r="F255" s="360" t="n">
        <f aca="false">E255/31</f>
        <v>409.967741935484</v>
      </c>
      <c r="G255" s="493" t="n">
        <v>4567.58</v>
      </c>
    </row>
    <row r="256" customFormat="false" ht="12.75" hidden="false" customHeight="false" outlineLevel="0" collapsed="false">
      <c r="A256" s="375" t="n">
        <v>36312</v>
      </c>
      <c r="B256" s="294" t="s">
        <v>459</v>
      </c>
      <c r="C256" s="294" t="s">
        <v>460</v>
      </c>
      <c r="D256" s="294" t="s">
        <v>464</v>
      </c>
      <c r="E256" s="493" t="n">
        <v>26362</v>
      </c>
      <c r="F256" s="360" t="n">
        <f aca="false">E256/30</f>
        <v>878.733333333333</v>
      </c>
      <c r="G256" s="493" t="n">
        <v>8613.1</v>
      </c>
    </row>
    <row r="257" customFormat="false" ht="12.75" hidden="false" customHeight="false" outlineLevel="0" collapsed="false">
      <c r="A257" s="375" t="n">
        <v>36342</v>
      </c>
      <c r="B257" s="294" t="s">
        <v>459</v>
      </c>
      <c r="C257" s="294" t="s">
        <v>460</v>
      </c>
      <c r="D257" s="294" t="s">
        <v>464</v>
      </c>
      <c r="E257" s="493" t="n">
        <v>24308</v>
      </c>
      <c r="F257" s="360" t="n">
        <f aca="false">E257/31</f>
        <v>784.129032258065</v>
      </c>
      <c r="G257" s="493" t="n">
        <v>6041.33</v>
      </c>
    </row>
    <row r="258" customFormat="false" ht="12.75" hidden="false" customHeight="false" outlineLevel="0" collapsed="false">
      <c r="A258" s="375" t="n">
        <v>36373</v>
      </c>
      <c r="B258" s="294" t="s">
        <v>459</v>
      </c>
      <c r="C258" s="294" t="s">
        <v>460</v>
      </c>
      <c r="D258" s="294" t="s">
        <v>464</v>
      </c>
      <c r="E258" s="493" t="n">
        <v>103808</v>
      </c>
      <c r="F258" s="360" t="n">
        <f aca="false">E258/31</f>
        <v>3348.64516129032</v>
      </c>
      <c r="G258" s="493" t="n">
        <v>5759.89</v>
      </c>
    </row>
    <row r="259" customFormat="false" ht="12.75" hidden="false" customHeight="false" outlineLevel="0" collapsed="false">
      <c r="A259" s="375" t="n">
        <v>36404</v>
      </c>
      <c r="B259" s="294" t="s">
        <v>459</v>
      </c>
      <c r="C259" s="294" t="s">
        <v>460</v>
      </c>
      <c r="D259" s="294" t="s">
        <v>464</v>
      </c>
      <c r="E259" s="493" t="n">
        <v>22137</v>
      </c>
      <c r="F259" s="360" t="n">
        <f aca="false">E259/30</f>
        <v>737.9</v>
      </c>
      <c r="G259" s="493" t="n">
        <v>2581.23</v>
      </c>
    </row>
    <row r="260" customFormat="false" ht="12.75" hidden="false" customHeight="false" outlineLevel="0" collapsed="false">
      <c r="A260" s="375" t="n">
        <v>36434</v>
      </c>
      <c r="B260" s="294" t="s">
        <v>459</v>
      </c>
      <c r="C260" s="294" t="s">
        <v>460</v>
      </c>
      <c r="D260" s="294" t="s">
        <v>464</v>
      </c>
      <c r="E260" s="493" t="n">
        <v>24682</v>
      </c>
      <c r="F260" s="360" t="n">
        <f aca="false">E260/31</f>
        <v>796.193548387097</v>
      </c>
      <c r="G260" s="493" t="n">
        <v>3104.39</v>
      </c>
    </row>
    <row r="261" customFormat="false" ht="12.75" hidden="false" customHeight="false" outlineLevel="0" collapsed="false">
      <c r="A261" s="375" t="n">
        <v>36465</v>
      </c>
      <c r="B261" s="294" t="s">
        <v>459</v>
      </c>
      <c r="C261" s="294" t="s">
        <v>460</v>
      </c>
      <c r="D261" s="294" t="s">
        <v>464</v>
      </c>
      <c r="E261" s="294" t="n">
        <v>363</v>
      </c>
      <c r="F261" s="360" t="n">
        <f aca="false">E261/30</f>
        <v>12.1</v>
      </c>
      <c r="G261" s="294" t="n">
        <v>131.77</v>
      </c>
    </row>
    <row r="262" customFormat="false" ht="12.75" hidden="false" customHeight="false" outlineLevel="0" collapsed="false">
      <c r="A262" s="375" t="n">
        <v>36495</v>
      </c>
      <c r="B262" s="294" t="s">
        <v>459</v>
      </c>
      <c r="C262" s="294" t="s">
        <v>460</v>
      </c>
      <c r="D262" s="294" t="s">
        <v>464</v>
      </c>
      <c r="E262" s="493" t="n">
        <v>7597</v>
      </c>
      <c r="F262" s="360" t="n">
        <f aca="false">E262/31</f>
        <v>245.064516129032</v>
      </c>
      <c r="G262" s="493" t="n">
        <v>2575.31</v>
      </c>
    </row>
    <row r="263" customFormat="false" ht="12.75" hidden="false" customHeight="false" outlineLevel="0" collapsed="false">
      <c r="A263" s="375" t="n">
        <v>35431</v>
      </c>
      <c r="B263" s="294" t="s">
        <v>459</v>
      </c>
      <c r="C263" s="294" t="s">
        <v>462</v>
      </c>
      <c r="D263" s="294" t="s">
        <v>464</v>
      </c>
      <c r="E263" s="493" t="n">
        <v>433621</v>
      </c>
      <c r="F263" s="360" t="n">
        <f aca="false">E263/31</f>
        <v>13987.7741935484</v>
      </c>
      <c r="G263" s="493" t="n">
        <v>30508.68</v>
      </c>
    </row>
    <row r="264" customFormat="false" ht="12.75" hidden="false" customHeight="false" outlineLevel="0" collapsed="false">
      <c r="A264" s="375" t="n">
        <v>35462</v>
      </c>
      <c r="B264" s="294" t="s">
        <v>459</v>
      </c>
      <c r="C264" s="294" t="s">
        <v>462</v>
      </c>
      <c r="D264" s="294" t="s">
        <v>464</v>
      </c>
      <c r="E264" s="493" t="n">
        <v>860061</v>
      </c>
      <c r="F264" s="360" t="n">
        <f aca="false">E264/28</f>
        <v>30716.4642857143</v>
      </c>
      <c r="G264" s="493" t="n">
        <v>36779.17</v>
      </c>
    </row>
    <row r="265" customFormat="false" ht="12.75" hidden="false" customHeight="false" outlineLevel="0" collapsed="false">
      <c r="A265" s="375" t="n">
        <v>35490</v>
      </c>
      <c r="B265" s="294" t="s">
        <v>459</v>
      </c>
      <c r="C265" s="294" t="s">
        <v>462</v>
      </c>
      <c r="D265" s="294" t="s">
        <v>464</v>
      </c>
      <c r="E265" s="493" t="n">
        <v>1246628</v>
      </c>
      <c r="F265" s="360" t="n">
        <f aca="false">E265/31</f>
        <v>40213.8064516129</v>
      </c>
      <c r="G265" s="493" t="n">
        <v>136623.44</v>
      </c>
    </row>
    <row r="266" customFormat="false" ht="12.75" hidden="false" customHeight="false" outlineLevel="0" collapsed="false">
      <c r="A266" s="375" t="n">
        <v>35521</v>
      </c>
      <c r="B266" s="294" t="s">
        <v>459</v>
      </c>
      <c r="C266" s="294" t="s">
        <v>462</v>
      </c>
      <c r="D266" s="294" t="s">
        <v>464</v>
      </c>
      <c r="E266" s="493" t="n">
        <v>1035089</v>
      </c>
      <c r="F266" s="360" t="n">
        <f aca="false">E266/30</f>
        <v>34502.9666666667</v>
      </c>
      <c r="G266" s="493" t="n">
        <v>-3597.87</v>
      </c>
    </row>
    <row r="267" customFormat="false" ht="12.75" hidden="false" customHeight="false" outlineLevel="0" collapsed="false">
      <c r="A267" s="375" t="n">
        <v>35551</v>
      </c>
      <c r="B267" s="294" t="s">
        <v>459</v>
      </c>
      <c r="C267" s="294" t="s">
        <v>462</v>
      </c>
      <c r="D267" s="294" t="s">
        <v>464</v>
      </c>
      <c r="E267" s="493" t="n">
        <v>133169</v>
      </c>
      <c r="F267" s="360" t="n">
        <f aca="false">E267/31</f>
        <v>4295.77419354839</v>
      </c>
      <c r="G267" s="493" t="n">
        <v>9299.9</v>
      </c>
    </row>
    <row r="268" customFormat="false" ht="12.75" hidden="false" customHeight="false" outlineLevel="0" collapsed="false">
      <c r="A268" s="375" t="n">
        <v>35582</v>
      </c>
      <c r="B268" s="294" t="s">
        <v>459</v>
      </c>
      <c r="C268" s="294" t="s">
        <v>462</v>
      </c>
      <c r="D268" s="294" t="s">
        <v>464</v>
      </c>
      <c r="E268" s="493" t="n">
        <v>40509</v>
      </c>
      <c r="F268" s="360" t="n">
        <f aca="false">E268/30</f>
        <v>1350.3</v>
      </c>
      <c r="G268" s="493" t="n">
        <v>2820.44</v>
      </c>
    </row>
    <row r="269" customFormat="false" ht="12.75" hidden="false" customHeight="false" outlineLevel="0" collapsed="false">
      <c r="A269" s="375" t="n">
        <v>35612</v>
      </c>
      <c r="B269" s="294" t="s">
        <v>459</v>
      </c>
      <c r="C269" s="294" t="s">
        <v>462</v>
      </c>
      <c r="D269" s="294" t="s">
        <v>464</v>
      </c>
      <c r="E269" s="493" t="n">
        <v>41917</v>
      </c>
      <c r="F269" s="360" t="n">
        <f aca="false">E269/31</f>
        <v>1352.16129032258</v>
      </c>
      <c r="G269" s="493" t="n">
        <v>4008.18</v>
      </c>
    </row>
    <row r="270" customFormat="false" ht="12.75" hidden="false" customHeight="false" outlineLevel="0" collapsed="false">
      <c r="A270" s="375" t="n">
        <v>35643</v>
      </c>
      <c r="B270" s="294" t="s">
        <v>459</v>
      </c>
      <c r="C270" s="294" t="s">
        <v>462</v>
      </c>
      <c r="D270" s="294" t="s">
        <v>464</v>
      </c>
      <c r="E270" s="493" t="n">
        <v>143024</v>
      </c>
      <c r="F270" s="360" t="n">
        <f aca="false">E270/31</f>
        <v>4613.67741935484</v>
      </c>
      <c r="G270" s="493" t="n">
        <v>13790.62</v>
      </c>
    </row>
    <row r="271" customFormat="false" ht="12.75" hidden="false" customHeight="false" outlineLevel="0" collapsed="false">
      <c r="A271" s="375" t="n">
        <v>35674</v>
      </c>
      <c r="B271" s="294" t="s">
        <v>459</v>
      </c>
      <c r="C271" s="294" t="s">
        <v>462</v>
      </c>
      <c r="D271" s="294" t="s">
        <v>464</v>
      </c>
      <c r="E271" s="493" t="n">
        <v>183716</v>
      </c>
      <c r="F271" s="360" t="n">
        <f aca="false">E271/30</f>
        <v>6123.86666666667</v>
      </c>
      <c r="G271" s="493" t="n">
        <v>20085.52</v>
      </c>
    </row>
    <row r="272" customFormat="false" ht="12.75" hidden="false" customHeight="false" outlineLevel="0" collapsed="false">
      <c r="A272" s="375" t="n">
        <v>35704</v>
      </c>
      <c r="B272" s="294" t="s">
        <v>459</v>
      </c>
      <c r="C272" s="294" t="s">
        <v>462</v>
      </c>
      <c r="D272" s="294" t="s">
        <v>464</v>
      </c>
      <c r="E272" s="493" t="n">
        <v>364947</v>
      </c>
      <c r="F272" s="360" t="n">
        <f aca="false">E272/31</f>
        <v>11772.4838709677</v>
      </c>
      <c r="G272" s="493" t="n">
        <v>37694</v>
      </c>
    </row>
    <row r="273" customFormat="false" ht="12.75" hidden="false" customHeight="false" outlineLevel="0" collapsed="false">
      <c r="A273" s="375" t="n">
        <v>35735</v>
      </c>
      <c r="B273" s="294" t="s">
        <v>459</v>
      </c>
      <c r="C273" s="294" t="s">
        <v>462</v>
      </c>
      <c r="D273" s="294" t="s">
        <v>464</v>
      </c>
      <c r="E273" s="493" t="n">
        <v>142646</v>
      </c>
      <c r="F273" s="360" t="n">
        <f aca="false">E273/30</f>
        <v>4754.86666666667</v>
      </c>
      <c r="G273" s="493" t="n">
        <v>15419.1</v>
      </c>
    </row>
    <row r="274" customFormat="false" ht="12.75" hidden="false" customHeight="false" outlineLevel="0" collapsed="false">
      <c r="A274" s="375" t="n">
        <v>35765</v>
      </c>
      <c r="B274" s="294" t="s">
        <v>459</v>
      </c>
      <c r="C274" s="294" t="s">
        <v>462</v>
      </c>
      <c r="D274" s="294" t="s">
        <v>464</v>
      </c>
      <c r="E274" s="493" t="n">
        <v>175560</v>
      </c>
      <c r="F274" s="360" t="n">
        <f aca="false">E274/31</f>
        <v>5663.22580645161</v>
      </c>
      <c r="G274" s="493" t="n">
        <v>15880.25</v>
      </c>
    </row>
    <row r="275" customFormat="false" ht="12.75" hidden="false" customHeight="false" outlineLevel="0" collapsed="false">
      <c r="A275" s="375" t="n">
        <v>35796</v>
      </c>
      <c r="B275" s="294" t="s">
        <v>459</v>
      </c>
      <c r="C275" s="294" t="s">
        <v>462</v>
      </c>
      <c r="D275" s="294" t="s">
        <v>464</v>
      </c>
      <c r="E275" s="493" t="n">
        <v>137352</v>
      </c>
      <c r="F275" s="360" t="n">
        <f aca="false">E275/31</f>
        <v>4430.70967741936</v>
      </c>
      <c r="G275" s="493" t="n">
        <v>9915.6</v>
      </c>
    </row>
    <row r="276" customFormat="false" ht="12.75" hidden="false" customHeight="false" outlineLevel="0" collapsed="false">
      <c r="A276" s="375" t="n">
        <v>35827</v>
      </c>
      <c r="B276" s="294" t="s">
        <v>459</v>
      </c>
      <c r="C276" s="294" t="s">
        <v>462</v>
      </c>
      <c r="D276" s="294" t="s">
        <v>464</v>
      </c>
      <c r="E276" s="493" t="n">
        <v>8307</v>
      </c>
      <c r="F276" s="360" t="n">
        <f aca="false">E276/28</f>
        <v>296.678571428571</v>
      </c>
      <c r="G276" s="493" t="n">
        <v>1246.05</v>
      </c>
    </row>
    <row r="277" customFormat="false" ht="12.75" hidden="false" customHeight="false" outlineLevel="0" collapsed="false">
      <c r="A277" s="375" t="n">
        <v>35855</v>
      </c>
      <c r="B277" s="294" t="s">
        <v>459</v>
      </c>
      <c r="C277" s="294" t="s">
        <v>462</v>
      </c>
      <c r="D277" s="294" t="s">
        <v>464</v>
      </c>
      <c r="E277" s="493" t="n">
        <v>94370</v>
      </c>
      <c r="F277" s="360" t="n">
        <f aca="false">E277/31</f>
        <v>3044.1935483871</v>
      </c>
      <c r="G277" s="493" t="n">
        <v>7417.32</v>
      </c>
    </row>
    <row r="278" customFormat="false" ht="12.75" hidden="false" customHeight="false" outlineLevel="0" collapsed="false">
      <c r="A278" s="375" t="n">
        <v>35886</v>
      </c>
      <c r="B278" s="294" t="s">
        <v>459</v>
      </c>
      <c r="C278" s="294" t="s">
        <v>462</v>
      </c>
      <c r="D278" s="294" t="s">
        <v>464</v>
      </c>
      <c r="E278" s="493" t="n">
        <v>133202</v>
      </c>
      <c r="F278" s="360" t="n">
        <f aca="false">E278/30</f>
        <v>4440.06666666667</v>
      </c>
      <c r="G278" s="493" t="n">
        <v>11556.44</v>
      </c>
    </row>
    <row r="279" customFormat="false" ht="12.75" hidden="false" customHeight="false" outlineLevel="0" collapsed="false">
      <c r="A279" s="375" t="n">
        <v>35916</v>
      </c>
      <c r="B279" s="294" t="s">
        <v>459</v>
      </c>
      <c r="C279" s="294" t="s">
        <v>462</v>
      </c>
      <c r="D279" s="294" t="s">
        <v>464</v>
      </c>
      <c r="E279" s="493" t="n">
        <v>17594</v>
      </c>
      <c r="F279" s="360" t="n">
        <f aca="false">E279/31</f>
        <v>567.548387096774</v>
      </c>
      <c r="G279" s="493" t="n">
        <v>1891.69</v>
      </c>
    </row>
    <row r="280" customFormat="false" ht="12.75" hidden="false" customHeight="false" outlineLevel="0" collapsed="false">
      <c r="A280" s="375" t="n">
        <v>35947</v>
      </c>
      <c r="B280" s="294" t="s">
        <v>459</v>
      </c>
      <c r="C280" s="294" t="s">
        <v>462</v>
      </c>
      <c r="D280" s="294" t="s">
        <v>464</v>
      </c>
      <c r="E280" s="493" t="n">
        <v>14600</v>
      </c>
      <c r="F280" s="360" t="n">
        <f aca="false">E280/30</f>
        <v>486.666666666667</v>
      </c>
      <c r="G280" s="493" t="n">
        <v>2628</v>
      </c>
    </row>
    <row r="281" customFormat="false" ht="12.75" hidden="false" customHeight="false" outlineLevel="0" collapsed="false">
      <c r="A281" s="375" t="n">
        <v>35977</v>
      </c>
      <c r="B281" s="294" t="s">
        <v>459</v>
      </c>
      <c r="C281" s="294" t="s">
        <v>462</v>
      </c>
      <c r="D281" s="294" t="s">
        <v>464</v>
      </c>
      <c r="E281" s="493" t="n">
        <v>24052</v>
      </c>
      <c r="F281" s="360" t="n">
        <f aca="false">E281/31</f>
        <v>775.870967741936</v>
      </c>
      <c r="G281" s="493" t="n">
        <v>4329.36</v>
      </c>
    </row>
    <row r="282" customFormat="false" ht="12.75" hidden="false" customHeight="false" outlineLevel="0" collapsed="false">
      <c r="A282" s="375" t="n">
        <v>36039</v>
      </c>
      <c r="B282" s="294" t="s">
        <v>459</v>
      </c>
      <c r="C282" s="294" t="s">
        <v>462</v>
      </c>
      <c r="D282" s="294" t="s">
        <v>464</v>
      </c>
      <c r="E282" s="493" t="n">
        <v>9358</v>
      </c>
      <c r="F282" s="360" t="n">
        <f aca="false">E282/30</f>
        <v>311.933333333333</v>
      </c>
      <c r="G282" s="493" t="n">
        <v>2657.9</v>
      </c>
    </row>
    <row r="283" customFormat="false" ht="12.75" hidden="false" customHeight="false" outlineLevel="0" collapsed="false">
      <c r="A283" s="375" t="n">
        <v>36069</v>
      </c>
      <c r="B283" s="294" t="s">
        <v>459</v>
      </c>
      <c r="C283" s="294" t="s">
        <v>462</v>
      </c>
      <c r="D283" s="294" t="s">
        <v>464</v>
      </c>
      <c r="E283" s="294" t="n">
        <v>769</v>
      </c>
      <c r="F283" s="360" t="n">
        <f aca="false">E283/31</f>
        <v>24.8064516129032</v>
      </c>
      <c r="G283" s="294" t="n">
        <v>192.25</v>
      </c>
    </row>
    <row r="284" customFormat="false" ht="12.75" hidden="false" customHeight="false" outlineLevel="0" collapsed="false">
      <c r="A284" s="375" t="n">
        <v>36161</v>
      </c>
      <c r="B284" s="294" t="s">
        <v>459</v>
      </c>
      <c r="C284" s="294" t="s">
        <v>462</v>
      </c>
      <c r="D284" s="294" t="s">
        <v>464</v>
      </c>
      <c r="E284" s="493" t="n">
        <v>6254</v>
      </c>
      <c r="F284" s="360" t="n">
        <f aca="false">E284/31</f>
        <v>201.741935483871</v>
      </c>
      <c r="G284" s="294" t="n">
        <v>687.94</v>
      </c>
    </row>
    <row r="285" customFormat="false" ht="12.75" hidden="false" customHeight="false" outlineLevel="0" collapsed="false">
      <c r="A285" s="375" t="n">
        <v>36192</v>
      </c>
      <c r="B285" s="294" t="s">
        <v>459</v>
      </c>
      <c r="C285" s="294" t="s">
        <v>462</v>
      </c>
      <c r="D285" s="294" t="s">
        <v>464</v>
      </c>
      <c r="E285" s="294" t="n">
        <v>4</v>
      </c>
      <c r="F285" s="360" t="n">
        <f aca="false">E285/29</f>
        <v>0.137931034482759</v>
      </c>
      <c r="G285" s="294" t="n">
        <v>0.8</v>
      </c>
    </row>
    <row r="286" customFormat="false" ht="12.75" hidden="false" customHeight="false" outlineLevel="0" collapsed="false">
      <c r="A286" s="375" t="n">
        <v>36220</v>
      </c>
      <c r="B286" s="294" t="s">
        <v>459</v>
      </c>
      <c r="C286" s="294" t="s">
        <v>462</v>
      </c>
      <c r="D286" s="294" t="s">
        <v>464</v>
      </c>
      <c r="E286" s="493" t="n">
        <v>16949</v>
      </c>
      <c r="F286" s="360" t="n">
        <f aca="false">E286/31</f>
        <v>546.741935483871</v>
      </c>
      <c r="G286" s="294" t="n">
        <v>807.45</v>
      </c>
    </row>
    <row r="287" customFormat="false" ht="12.75" hidden="false" customHeight="false" outlineLevel="0" collapsed="false">
      <c r="A287" s="375" t="n">
        <v>35431</v>
      </c>
      <c r="B287" s="294" t="s">
        <v>459</v>
      </c>
      <c r="C287" s="294" t="s">
        <v>463</v>
      </c>
      <c r="D287" s="294" t="s">
        <v>464</v>
      </c>
      <c r="E287" s="493" t="n">
        <v>34600</v>
      </c>
      <c r="F287" s="360" t="n">
        <f aca="false">E287/31</f>
        <v>1116.12903225806</v>
      </c>
      <c r="G287" s="493" t="n">
        <v>1903</v>
      </c>
    </row>
    <row r="288" customFormat="false" ht="12.75" hidden="false" customHeight="false" outlineLevel="0" collapsed="false">
      <c r="A288" s="375" t="n">
        <v>35462</v>
      </c>
      <c r="B288" s="294" t="s">
        <v>459</v>
      </c>
      <c r="C288" s="294" t="s">
        <v>463</v>
      </c>
      <c r="D288" s="294" t="s">
        <v>464</v>
      </c>
      <c r="E288" s="493" t="n">
        <v>34610</v>
      </c>
      <c r="F288" s="360" t="n">
        <f aca="false">E288/28</f>
        <v>1236.07142857143</v>
      </c>
      <c r="G288" s="493" t="n">
        <v>1038.3</v>
      </c>
    </row>
    <row r="289" customFormat="false" ht="12.75" hidden="false" customHeight="false" outlineLevel="0" collapsed="false">
      <c r="A289" s="375" t="n">
        <v>35490</v>
      </c>
      <c r="B289" s="294" t="s">
        <v>459</v>
      </c>
      <c r="C289" s="294" t="s">
        <v>463</v>
      </c>
      <c r="D289" s="294" t="s">
        <v>464</v>
      </c>
      <c r="E289" s="493" t="n">
        <v>410022</v>
      </c>
      <c r="F289" s="360" t="n">
        <f aca="false">E289/31</f>
        <v>13226.5161290323</v>
      </c>
      <c r="G289" s="493" t="n">
        <v>11758.94</v>
      </c>
    </row>
    <row r="290" customFormat="false" ht="12.75" hidden="false" customHeight="false" outlineLevel="0" collapsed="false">
      <c r="A290" s="375" t="n">
        <v>35521</v>
      </c>
      <c r="B290" s="294" t="s">
        <v>459</v>
      </c>
      <c r="C290" s="294" t="s">
        <v>463</v>
      </c>
      <c r="D290" s="294" t="s">
        <v>464</v>
      </c>
      <c r="E290" s="493" t="n">
        <v>2390857</v>
      </c>
      <c r="F290" s="360" t="n">
        <f aca="false">E290/30</f>
        <v>79695.2333333333</v>
      </c>
      <c r="G290" s="493" t="n">
        <v>57574.18</v>
      </c>
    </row>
    <row r="291" customFormat="false" ht="12.75" hidden="false" customHeight="false" outlineLevel="0" collapsed="false">
      <c r="A291" s="375" t="n">
        <v>35551</v>
      </c>
      <c r="B291" s="294" t="s">
        <v>459</v>
      </c>
      <c r="C291" s="294" t="s">
        <v>463</v>
      </c>
      <c r="D291" s="294" t="s">
        <v>464</v>
      </c>
      <c r="E291" s="493" t="n">
        <v>493247</v>
      </c>
      <c r="F291" s="360" t="n">
        <f aca="false">E291/31</f>
        <v>15911.1935483871</v>
      </c>
      <c r="G291" s="493" t="n">
        <v>14797.41</v>
      </c>
    </row>
    <row r="292" customFormat="false" ht="12.75" hidden="false" customHeight="false" outlineLevel="0" collapsed="false">
      <c r="A292" s="375" t="n">
        <v>35582</v>
      </c>
      <c r="B292" s="294" t="s">
        <v>459</v>
      </c>
      <c r="C292" s="294" t="s">
        <v>463</v>
      </c>
      <c r="D292" s="294" t="s">
        <v>464</v>
      </c>
      <c r="E292" s="493" t="n">
        <v>208036</v>
      </c>
      <c r="F292" s="360" t="n">
        <f aca="false">E292/30</f>
        <v>6934.53333333333</v>
      </c>
      <c r="G292" s="493" t="n">
        <v>6241.08</v>
      </c>
    </row>
    <row r="293" customFormat="false" ht="12.75" hidden="false" customHeight="false" outlineLevel="0" collapsed="false">
      <c r="A293" s="375" t="n">
        <v>35674</v>
      </c>
      <c r="B293" s="294" t="s">
        <v>459</v>
      </c>
      <c r="C293" s="294" t="s">
        <v>463</v>
      </c>
      <c r="D293" s="294" t="s">
        <v>464</v>
      </c>
      <c r="E293" s="493" t="n">
        <v>60000</v>
      </c>
      <c r="F293" s="360" t="n">
        <f aca="false">E293/30</f>
        <v>2000</v>
      </c>
      <c r="G293" s="493" t="n">
        <v>1800</v>
      </c>
    </row>
    <row r="294" customFormat="false" ht="12.75" hidden="false" customHeight="false" outlineLevel="0" collapsed="false">
      <c r="A294" s="375" t="n">
        <v>35704</v>
      </c>
      <c r="B294" s="294" t="s">
        <v>459</v>
      </c>
      <c r="C294" s="294" t="s">
        <v>463</v>
      </c>
      <c r="D294" s="294" t="s">
        <v>464</v>
      </c>
      <c r="E294" s="493" t="n">
        <v>355917</v>
      </c>
      <c r="F294" s="360" t="n">
        <f aca="false">E294/31</f>
        <v>11481.1935483871</v>
      </c>
      <c r="G294" s="493" t="n">
        <v>14236.68</v>
      </c>
    </row>
    <row r="295" customFormat="false" ht="12.75" hidden="false" customHeight="false" outlineLevel="0" collapsed="false">
      <c r="A295" s="375" t="n">
        <v>35735</v>
      </c>
      <c r="B295" s="294" t="s">
        <v>459</v>
      </c>
      <c r="C295" s="294" t="s">
        <v>463</v>
      </c>
      <c r="D295" s="294" t="s">
        <v>464</v>
      </c>
      <c r="E295" s="493" t="n">
        <v>71396</v>
      </c>
      <c r="F295" s="360" t="n">
        <f aca="false">E295/30</f>
        <v>2379.86666666667</v>
      </c>
      <c r="G295" s="493" t="n">
        <v>2705.84</v>
      </c>
    </row>
    <row r="296" customFormat="false" ht="12.75" hidden="false" customHeight="false" outlineLevel="0" collapsed="false">
      <c r="A296" s="375" t="n">
        <v>35765</v>
      </c>
      <c r="B296" s="294" t="s">
        <v>459</v>
      </c>
      <c r="C296" s="294" t="s">
        <v>463</v>
      </c>
      <c r="D296" s="294" t="s">
        <v>464</v>
      </c>
      <c r="E296" s="493" t="n">
        <v>167333</v>
      </c>
      <c r="F296" s="360" t="n">
        <f aca="false">E296/31</f>
        <v>5397.83870967742</v>
      </c>
      <c r="G296" s="493" t="n">
        <v>6693.32</v>
      </c>
    </row>
    <row r="297" customFormat="false" ht="12.75" hidden="false" customHeight="false" outlineLevel="0" collapsed="false">
      <c r="A297" s="375" t="n">
        <v>35796</v>
      </c>
      <c r="B297" s="294" t="s">
        <v>459</v>
      </c>
      <c r="C297" s="294" t="s">
        <v>463</v>
      </c>
      <c r="D297" s="294" t="s">
        <v>464</v>
      </c>
      <c r="E297" s="493" t="n">
        <v>23875</v>
      </c>
      <c r="F297" s="360" t="n">
        <f aca="false">E297/31</f>
        <v>770.161290322581</v>
      </c>
      <c r="G297" s="294" t="n">
        <v>955</v>
      </c>
    </row>
    <row r="298" customFormat="false" ht="12.75" hidden="false" customHeight="false" outlineLevel="0" collapsed="false">
      <c r="A298" s="375" t="n">
        <v>35827</v>
      </c>
      <c r="B298" s="294" t="s">
        <v>459</v>
      </c>
      <c r="C298" s="294" t="s">
        <v>463</v>
      </c>
      <c r="D298" s="294" t="s">
        <v>464</v>
      </c>
      <c r="E298" s="493" t="n">
        <v>10831</v>
      </c>
      <c r="F298" s="360" t="n">
        <f aca="false">E298/28</f>
        <v>386.821428571429</v>
      </c>
      <c r="G298" s="493" t="n">
        <v>1624.65</v>
      </c>
    </row>
    <row r="299" customFormat="false" ht="12.75" hidden="false" customHeight="false" outlineLevel="0" collapsed="false">
      <c r="A299" s="375" t="n">
        <v>35886</v>
      </c>
      <c r="B299" s="294" t="s">
        <v>459</v>
      </c>
      <c r="C299" s="294" t="s">
        <v>463</v>
      </c>
      <c r="D299" s="294" t="s">
        <v>464</v>
      </c>
      <c r="E299" s="493" t="n">
        <v>60530</v>
      </c>
      <c r="F299" s="360" t="n">
        <f aca="false">E299/30</f>
        <v>2017.66666666667</v>
      </c>
      <c r="G299" s="493" t="n">
        <v>3631.8</v>
      </c>
    </row>
    <row r="300" customFormat="false" ht="12.75" hidden="false" customHeight="false" outlineLevel="0" collapsed="false">
      <c r="A300" s="375" t="n">
        <v>35916</v>
      </c>
      <c r="B300" s="294" t="s">
        <v>459</v>
      </c>
      <c r="C300" s="294" t="s">
        <v>463</v>
      </c>
      <c r="D300" s="294" t="s">
        <v>464</v>
      </c>
      <c r="E300" s="493" t="n">
        <v>96576</v>
      </c>
      <c r="F300" s="360" t="n">
        <f aca="false">E300/31</f>
        <v>3115.35483870968</v>
      </c>
      <c r="G300" s="493" t="n">
        <v>5794.56</v>
      </c>
    </row>
    <row r="301" customFormat="false" ht="12.75" hidden="false" customHeight="false" outlineLevel="0" collapsed="false">
      <c r="A301" s="375" t="n">
        <v>35947</v>
      </c>
      <c r="B301" s="294" t="s">
        <v>459</v>
      </c>
      <c r="C301" s="294" t="s">
        <v>463</v>
      </c>
      <c r="D301" s="294" t="s">
        <v>464</v>
      </c>
      <c r="E301" s="493" t="n">
        <v>67082</v>
      </c>
      <c r="F301" s="360" t="n">
        <f aca="false">E301/30</f>
        <v>2236.06666666667</v>
      </c>
      <c r="G301" s="493" t="n">
        <v>4024.92</v>
      </c>
    </row>
    <row r="302" customFormat="false" ht="12.75" hidden="false" customHeight="false" outlineLevel="0" collapsed="false">
      <c r="A302" s="375" t="n">
        <v>35977</v>
      </c>
      <c r="B302" s="294" t="s">
        <v>459</v>
      </c>
      <c r="C302" s="294" t="s">
        <v>463</v>
      </c>
      <c r="D302" s="294" t="s">
        <v>464</v>
      </c>
      <c r="E302" s="493" t="n">
        <v>156388</v>
      </c>
      <c r="F302" s="360" t="n">
        <f aca="false">E302/31</f>
        <v>5044.77419354839</v>
      </c>
      <c r="G302" s="493" t="n">
        <v>21691.95</v>
      </c>
    </row>
    <row r="303" customFormat="false" ht="12.75" hidden="false" customHeight="false" outlineLevel="0" collapsed="false">
      <c r="A303" s="375" t="n">
        <v>36281</v>
      </c>
      <c r="B303" s="294" t="s">
        <v>459</v>
      </c>
      <c r="C303" s="294" t="s">
        <v>463</v>
      </c>
      <c r="D303" s="294" t="s">
        <v>464</v>
      </c>
      <c r="E303" s="493" t="n">
        <v>4620</v>
      </c>
      <c r="F303" s="360" t="n">
        <f aca="false">E303/31</f>
        <v>149.032258064516</v>
      </c>
      <c r="G303" s="294" t="n">
        <v>369.6</v>
      </c>
    </row>
    <row r="304" customFormat="false" ht="12.75" hidden="false" customHeight="false" outlineLevel="0" collapsed="false">
      <c r="A304" s="375" t="n">
        <v>36312</v>
      </c>
      <c r="B304" s="294" t="s">
        <v>459</v>
      </c>
      <c r="C304" s="294" t="s">
        <v>463</v>
      </c>
      <c r="D304" s="294" t="s">
        <v>464</v>
      </c>
      <c r="E304" s="493" t="n">
        <v>168023</v>
      </c>
      <c r="F304" s="360" t="n">
        <f aca="false">E304/30</f>
        <v>5600.76666666667</v>
      </c>
      <c r="G304" s="493" t="n">
        <v>10081.38</v>
      </c>
    </row>
    <row r="305" customFormat="false" ht="12.75" hidden="false" customHeight="false" outlineLevel="0" collapsed="false">
      <c r="A305" s="375" t="n">
        <v>35431</v>
      </c>
      <c r="B305" s="294" t="s">
        <v>459</v>
      </c>
      <c r="C305" s="294" t="s">
        <v>464</v>
      </c>
      <c r="D305" s="294" t="s">
        <v>464</v>
      </c>
      <c r="E305" s="493" t="n">
        <v>52177</v>
      </c>
      <c r="F305" s="360" t="n">
        <f aca="false">E305/31</f>
        <v>1683.12903225806</v>
      </c>
      <c r="G305" s="493" t="n">
        <v>1156.83</v>
      </c>
    </row>
    <row r="306" customFormat="false" ht="12.75" hidden="false" customHeight="false" outlineLevel="0" collapsed="false">
      <c r="A306" s="375" t="n">
        <v>35462</v>
      </c>
      <c r="B306" s="294" t="s">
        <v>459</v>
      </c>
      <c r="C306" s="294" t="s">
        <v>464</v>
      </c>
      <c r="D306" s="294" t="s">
        <v>464</v>
      </c>
      <c r="E306" s="493" t="n">
        <v>222637</v>
      </c>
      <c r="F306" s="360" t="n">
        <f aca="false">E306/28</f>
        <v>7951.32142857143</v>
      </c>
      <c r="G306" s="493" t="n">
        <v>3875.56</v>
      </c>
    </row>
    <row r="307" customFormat="false" ht="12.75" hidden="false" customHeight="false" outlineLevel="0" collapsed="false">
      <c r="A307" s="375" t="n">
        <v>35490</v>
      </c>
      <c r="B307" s="294" t="s">
        <v>459</v>
      </c>
      <c r="C307" s="294" t="s">
        <v>464</v>
      </c>
      <c r="D307" s="294" t="s">
        <v>464</v>
      </c>
      <c r="E307" s="493" t="n">
        <v>444262</v>
      </c>
      <c r="F307" s="360" t="n">
        <f aca="false">E307/31</f>
        <v>14331.0322580645</v>
      </c>
      <c r="G307" s="493" t="n">
        <v>8609.94</v>
      </c>
    </row>
    <row r="308" customFormat="false" ht="12.75" hidden="false" customHeight="false" outlineLevel="0" collapsed="false">
      <c r="A308" s="375" t="n">
        <v>35521</v>
      </c>
      <c r="B308" s="294" t="s">
        <v>459</v>
      </c>
      <c r="C308" s="294" t="s">
        <v>464</v>
      </c>
      <c r="D308" s="294" t="s">
        <v>464</v>
      </c>
      <c r="E308" s="493" t="n">
        <v>879297</v>
      </c>
      <c r="F308" s="360" t="n">
        <f aca="false">E308/30</f>
        <v>29309.9</v>
      </c>
      <c r="G308" s="493" t="n">
        <v>16051.33</v>
      </c>
    </row>
    <row r="309" customFormat="false" ht="12.75" hidden="false" customHeight="false" outlineLevel="0" collapsed="false">
      <c r="A309" s="375" t="n">
        <v>35551</v>
      </c>
      <c r="B309" s="294" t="s">
        <v>459</v>
      </c>
      <c r="C309" s="294" t="s">
        <v>464</v>
      </c>
      <c r="D309" s="294" t="s">
        <v>464</v>
      </c>
      <c r="E309" s="493" t="n">
        <v>1052501</v>
      </c>
      <c r="F309" s="360" t="n">
        <f aca="false">E309/31</f>
        <v>33951.6451612903</v>
      </c>
      <c r="G309" s="493" t="n">
        <v>30369.59</v>
      </c>
    </row>
    <row r="310" customFormat="false" ht="12.75" hidden="false" customHeight="false" outlineLevel="0" collapsed="false">
      <c r="A310" s="375" t="n">
        <v>35582</v>
      </c>
      <c r="B310" s="294" t="s">
        <v>459</v>
      </c>
      <c r="C310" s="294" t="s">
        <v>464</v>
      </c>
      <c r="D310" s="294" t="s">
        <v>464</v>
      </c>
      <c r="E310" s="493" t="n">
        <v>738737</v>
      </c>
      <c r="F310" s="360" t="n">
        <f aca="false">E310/30</f>
        <v>24624.5666666667</v>
      </c>
      <c r="G310" s="493" t="n">
        <v>31256.36</v>
      </c>
    </row>
    <row r="311" customFormat="false" ht="12.75" hidden="false" customHeight="false" outlineLevel="0" collapsed="false">
      <c r="A311" s="375" t="n">
        <v>35612</v>
      </c>
      <c r="B311" s="294" t="s">
        <v>459</v>
      </c>
      <c r="C311" s="294" t="s">
        <v>464</v>
      </c>
      <c r="D311" s="294" t="s">
        <v>464</v>
      </c>
      <c r="E311" s="493" t="n">
        <v>158827</v>
      </c>
      <c r="F311" s="360" t="n">
        <f aca="false">E311/31</f>
        <v>5123.45161290323</v>
      </c>
      <c r="G311" s="493" t="n">
        <v>13812.7</v>
      </c>
    </row>
    <row r="312" customFormat="false" ht="12.75" hidden="false" customHeight="false" outlineLevel="0" collapsed="false">
      <c r="A312" s="375" t="n">
        <v>35643</v>
      </c>
      <c r="B312" s="294" t="s">
        <v>459</v>
      </c>
      <c r="C312" s="294" t="s">
        <v>464</v>
      </c>
      <c r="D312" s="294" t="s">
        <v>464</v>
      </c>
      <c r="E312" s="294" t="n">
        <v>0</v>
      </c>
      <c r="F312" s="360" t="n">
        <f aca="false">E312/31</f>
        <v>0</v>
      </c>
      <c r="G312" s="294" t="n">
        <v>-46.2</v>
      </c>
    </row>
    <row r="313" customFormat="false" ht="12.75" hidden="false" customHeight="false" outlineLevel="0" collapsed="false">
      <c r="A313" s="375" t="n">
        <v>35674</v>
      </c>
      <c r="B313" s="294" t="s">
        <v>459</v>
      </c>
      <c r="C313" s="294" t="s">
        <v>464</v>
      </c>
      <c r="D313" s="294" t="s">
        <v>464</v>
      </c>
      <c r="E313" s="493" t="n">
        <v>30000</v>
      </c>
      <c r="F313" s="360" t="n">
        <f aca="false">E313/30</f>
        <v>1000</v>
      </c>
      <c r="G313" s="493" t="n">
        <v>-10106.16</v>
      </c>
    </row>
    <row r="314" customFormat="false" ht="12.75" hidden="false" customHeight="false" outlineLevel="0" collapsed="false">
      <c r="A314" s="375" t="n">
        <v>35704</v>
      </c>
      <c r="B314" s="294" t="s">
        <v>459</v>
      </c>
      <c r="C314" s="294" t="s">
        <v>464</v>
      </c>
      <c r="D314" s="294" t="s">
        <v>464</v>
      </c>
      <c r="E314" s="493" t="n">
        <v>166775</v>
      </c>
      <c r="F314" s="360" t="n">
        <f aca="false">E314/31</f>
        <v>5379.83870967742</v>
      </c>
      <c r="G314" s="493" t="n">
        <v>7110.5</v>
      </c>
    </row>
    <row r="315" customFormat="false" ht="12.75" hidden="false" customHeight="false" outlineLevel="0" collapsed="false">
      <c r="A315" s="375" t="n">
        <v>35735</v>
      </c>
      <c r="B315" s="294" t="s">
        <v>459</v>
      </c>
      <c r="C315" s="294" t="s">
        <v>464</v>
      </c>
      <c r="D315" s="294" t="s">
        <v>464</v>
      </c>
      <c r="E315" s="493" t="n">
        <v>403383</v>
      </c>
      <c r="F315" s="360" t="n">
        <f aca="false">E315/30</f>
        <v>13446.1</v>
      </c>
      <c r="G315" s="493" t="n">
        <v>4794.62</v>
      </c>
    </row>
    <row r="316" customFormat="false" ht="12.75" hidden="false" customHeight="false" outlineLevel="0" collapsed="false">
      <c r="A316" s="375" t="n">
        <v>35765</v>
      </c>
      <c r="B316" s="294" t="s">
        <v>459</v>
      </c>
      <c r="C316" s="294" t="s">
        <v>464</v>
      </c>
      <c r="D316" s="294" t="s">
        <v>464</v>
      </c>
      <c r="E316" s="493" t="n">
        <v>456242</v>
      </c>
      <c r="F316" s="360" t="n">
        <f aca="false">E316/31</f>
        <v>14717.4838709677</v>
      </c>
      <c r="G316" s="493" t="n">
        <v>8040.15</v>
      </c>
    </row>
    <row r="317" customFormat="false" ht="12.75" hidden="false" customHeight="false" outlineLevel="0" collapsed="false">
      <c r="A317" s="375" t="n">
        <v>35796</v>
      </c>
      <c r="B317" s="294" t="s">
        <v>459</v>
      </c>
      <c r="C317" s="294" t="s">
        <v>464</v>
      </c>
      <c r="D317" s="294" t="s">
        <v>464</v>
      </c>
      <c r="E317" s="493" t="n">
        <v>140378</v>
      </c>
      <c r="F317" s="360" t="n">
        <f aca="false">E317/31</f>
        <v>4528.32258064516</v>
      </c>
      <c r="G317" s="493" t="n">
        <v>2731.62</v>
      </c>
    </row>
    <row r="318" customFormat="false" ht="12.75" hidden="false" customHeight="false" outlineLevel="0" collapsed="false">
      <c r="A318" s="375" t="n">
        <v>35827</v>
      </c>
      <c r="B318" s="294" t="s">
        <v>461</v>
      </c>
      <c r="C318" s="294" t="s">
        <v>464</v>
      </c>
      <c r="D318" s="294" t="s">
        <v>464</v>
      </c>
      <c r="E318" s="294" t="n">
        <v>0</v>
      </c>
      <c r="F318" s="360" t="n">
        <f aca="false">E318/28</f>
        <v>0</v>
      </c>
      <c r="G318" s="493" t="n">
        <v>-3950</v>
      </c>
    </row>
    <row r="319" customFormat="false" ht="12.75" hidden="false" customHeight="false" outlineLevel="0" collapsed="false">
      <c r="A319" s="375" t="n">
        <v>35827</v>
      </c>
      <c r="B319" s="294" t="s">
        <v>459</v>
      </c>
      <c r="C319" s="294" t="s">
        <v>464</v>
      </c>
      <c r="D319" s="294" t="s">
        <v>464</v>
      </c>
      <c r="E319" s="493" t="n">
        <v>525000</v>
      </c>
      <c r="F319" s="360" t="n">
        <f aca="false">E319/28</f>
        <v>18750</v>
      </c>
      <c r="G319" s="493" t="n">
        <v>9800</v>
      </c>
    </row>
    <row r="320" customFormat="false" ht="12.75" hidden="false" customHeight="false" outlineLevel="0" collapsed="false">
      <c r="A320" s="375" t="n">
        <v>35855</v>
      </c>
      <c r="B320" s="294" t="s">
        <v>459</v>
      </c>
      <c r="C320" s="294" t="s">
        <v>464</v>
      </c>
      <c r="D320" s="294" t="s">
        <v>464</v>
      </c>
      <c r="E320" s="493" t="n">
        <v>142799</v>
      </c>
      <c r="F320" s="360" t="n">
        <f aca="false">E320/31</f>
        <v>4606.41935483871</v>
      </c>
      <c r="G320" s="493" t="n">
        <v>5356.54</v>
      </c>
    </row>
    <row r="321" customFormat="false" ht="12.75" hidden="false" customHeight="false" outlineLevel="0" collapsed="false">
      <c r="A321" s="375" t="n">
        <v>35886</v>
      </c>
      <c r="B321" s="294" t="s">
        <v>459</v>
      </c>
      <c r="C321" s="294" t="s">
        <v>464</v>
      </c>
      <c r="D321" s="294" t="s">
        <v>464</v>
      </c>
      <c r="E321" s="493" t="n">
        <v>304641</v>
      </c>
      <c r="F321" s="360" t="n">
        <f aca="false">E321/30</f>
        <v>10154.7</v>
      </c>
      <c r="G321" s="493" t="n">
        <v>6301.97</v>
      </c>
    </row>
    <row r="322" customFormat="false" ht="12.75" hidden="false" customHeight="false" outlineLevel="0" collapsed="false">
      <c r="A322" s="375" t="n">
        <v>35916</v>
      </c>
      <c r="B322" s="294" t="s">
        <v>459</v>
      </c>
      <c r="C322" s="294" t="s">
        <v>464</v>
      </c>
      <c r="D322" s="294" t="s">
        <v>464</v>
      </c>
      <c r="E322" s="493" t="n">
        <v>373936</v>
      </c>
      <c r="F322" s="360" t="n">
        <f aca="false">E322/31</f>
        <v>12062.4516129032</v>
      </c>
      <c r="G322" s="493" t="n">
        <v>6018.88</v>
      </c>
    </row>
    <row r="323" customFormat="false" ht="12.75" hidden="false" customHeight="false" outlineLevel="0" collapsed="false">
      <c r="A323" s="375" t="n">
        <v>35947</v>
      </c>
      <c r="B323" s="294" t="s">
        <v>459</v>
      </c>
      <c r="C323" s="294" t="s">
        <v>464</v>
      </c>
      <c r="D323" s="294" t="s">
        <v>464</v>
      </c>
      <c r="E323" s="493" t="n">
        <v>1405428</v>
      </c>
      <c r="F323" s="360" t="n">
        <f aca="false">E323/30</f>
        <v>46847.6</v>
      </c>
      <c r="G323" s="493" t="n">
        <v>41746.64</v>
      </c>
    </row>
    <row r="324" customFormat="false" ht="12.75" hidden="false" customHeight="false" outlineLevel="0" collapsed="false">
      <c r="A324" s="375" t="n">
        <v>35977</v>
      </c>
      <c r="B324" s="294" t="s">
        <v>461</v>
      </c>
      <c r="C324" s="294" t="s">
        <v>464</v>
      </c>
      <c r="D324" s="294" t="s">
        <v>464</v>
      </c>
      <c r="E324" s="493" t="n">
        <v>36512</v>
      </c>
      <c r="F324" s="360" t="n">
        <f aca="false">E324/31</f>
        <v>1177.8064516129</v>
      </c>
      <c r="G324" s="294" t="n">
        <v>638.97</v>
      </c>
    </row>
    <row r="325" customFormat="false" ht="12.75" hidden="false" customHeight="false" outlineLevel="0" collapsed="false">
      <c r="A325" s="375" t="n">
        <v>35977</v>
      </c>
      <c r="B325" s="294" t="s">
        <v>459</v>
      </c>
      <c r="C325" s="294" t="s">
        <v>464</v>
      </c>
      <c r="D325" s="294" t="s">
        <v>464</v>
      </c>
      <c r="E325" s="493" t="n">
        <v>488796</v>
      </c>
      <c r="F325" s="360" t="n">
        <f aca="false">E325/31</f>
        <v>15767.6129032258</v>
      </c>
      <c r="G325" s="493" t="n">
        <v>29644.92</v>
      </c>
    </row>
    <row r="326" customFormat="false" ht="12.75" hidden="false" customHeight="false" outlineLevel="0" collapsed="false">
      <c r="A326" s="375" t="n">
        <v>36008</v>
      </c>
      <c r="B326" s="294" t="s">
        <v>459</v>
      </c>
      <c r="C326" s="294" t="s">
        <v>464</v>
      </c>
      <c r="D326" s="294" t="s">
        <v>464</v>
      </c>
      <c r="E326" s="493" t="n">
        <v>-7582</v>
      </c>
      <c r="F326" s="360" t="n">
        <f aca="false">E326/31</f>
        <v>-244.58064516129</v>
      </c>
      <c r="G326" s="493" t="n">
        <v>-1165.67</v>
      </c>
    </row>
    <row r="327" customFormat="false" ht="12.75" hidden="false" customHeight="false" outlineLevel="0" collapsed="false">
      <c r="A327" s="375" t="n">
        <v>36039</v>
      </c>
      <c r="B327" s="294" t="s">
        <v>459</v>
      </c>
      <c r="C327" s="294" t="s">
        <v>464</v>
      </c>
      <c r="D327" s="294" t="s">
        <v>464</v>
      </c>
      <c r="E327" s="493" t="n">
        <v>115885</v>
      </c>
      <c r="F327" s="360" t="n">
        <f aca="false">E327/30</f>
        <v>3862.83333333333</v>
      </c>
      <c r="G327" s="493" t="n">
        <v>3907.62</v>
      </c>
    </row>
    <row r="328" customFormat="false" ht="12.75" hidden="false" customHeight="false" outlineLevel="0" collapsed="false">
      <c r="A328" s="375" t="n">
        <v>36069</v>
      </c>
      <c r="B328" s="294" t="s">
        <v>461</v>
      </c>
      <c r="C328" s="294" t="s">
        <v>464</v>
      </c>
      <c r="D328" s="294" t="s">
        <v>464</v>
      </c>
      <c r="E328" s="294" t="n">
        <v>0</v>
      </c>
      <c r="F328" s="360" t="n">
        <f aca="false">E328/31</f>
        <v>0</v>
      </c>
      <c r="G328" s="493" t="n">
        <v>4170.4</v>
      </c>
    </row>
    <row r="329" customFormat="false" ht="12.75" hidden="false" customHeight="false" outlineLevel="0" collapsed="false">
      <c r="A329" s="375" t="n">
        <v>36069</v>
      </c>
      <c r="B329" s="294" t="s">
        <v>459</v>
      </c>
      <c r="C329" s="294" t="s">
        <v>464</v>
      </c>
      <c r="D329" s="294" t="s">
        <v>464</v>
      </c>
      <c r="E329" s="493" t="n">
        <v>76404</v>
      </c>
      <c r="F329" s="360" t="n">
        <f aca="false">E329/31</f>
        <v>2464.64516129032</v>
      </c>
      <c r="G329" s="493" t="n">
        <v>5889.38</v>
      </c>
    </row>
    <row r="330" customFormat="false" ht="12.75" hidden="false" customHeight="false" outlineLevel="0" collapsed="false">
      <c r="A330" s="375" t="n">
        <v>36100</v>
      </c>
      <c r="B330" s="294" t="s">
        <v>459</v>
      </c>
      <c r="C330" s="294" t="s">
        <v>464</v>
      </c>
      <c r="D330" s="294" t="s">
        <v>464</v>
      </c>
      <c r="E330" s="493" t="n">
        <v>10857</v>
      </c>
      <c r="F330" s="360" t="n">
        <f aca="false">E330/30</f>
        <v>361.9</v>
      </c>
      <c r="G330" s="493" t="n">
        <v>2562.87</v>
      </c>
    </row>
    <row r="331" customFormat="false" ht="12.75" hidden="false" customHeight="false" outlineLevel="0" collapsed="false">
      <c r="A331" s="375" t="n">
        <v>36161</v>
      </c>
      <c r="B331" s="294" t="s">
        <v>461</v>
      </c>
      <c r="C331" s="294" t="s">
        <v>464</v>
      </c>
      <c r="D331" s="294" t="s">
        <v>464</v>
      </c>
      <c r="E331" s="493" t="n">
        <v>5516</v>
      </c>
      <c r="F331" s="360" t="n">
        <f aca="false">E331/31</f>
        <v>177.935483870968</v>
      </c>
      <c r="G331" s="294" t="n">
        <v>551.6</v>
      </c>
    </row>
    <row r="332" customFormat="false" ht="12.75" hidden="false" customHeight="false" outlineLevel="0" collapsed="false">
      <c r="A332" s="375" t="n">
        <v>36251</v>
      </c>
      <c r="B332" s="294" t="s">
        <v>459</v>
      </c>
      <c r="C332" s="294" t="s">
        <v>464</v>
      </c>
      <c r="D332" s="294" t="s">
        <v>464</v>
      </c>
      <c r="E332" s="493" t="n">
        <v>91237</v>
      </c>
      <c r="F332" s="360" t="n">
        <f aca="false">E332/30</f>
        <v>3041.23333333333</v>
      </c>
      <c r="G332" s="493" t="n">
        <v>2892.48</v>
      </c>
    </row>
    <row r="333" customFormat="false" ht="12.75" hidden="false" customHeight="false" outlineLevel="0" collapsed="false">
      <c r="A333" s="375" t="n">
        <v>36281</v>
      </c>
      <c r="B333" s="294" t="s">
        <v>459</v>
      </c>
      <c r="C333" s="294" t="s">
        <v>464</v>
      </c>
      <c r="D333" s="294" t="s">
        <v>464</v>
      </c>
      <c r="E333" s="493" t="n">
        <v>4067</v>
      </c>
      <c r="F333" s="360" t="n">
        <f aca="false">E333/31</f>
        <v>131.193548387097</v>
      </c>
      <c r="G333" s="294" t="n">
        <v>344.83</v>
      </c>
    </row>
    <row r="334" customFormat="false" ht="12.75" hidden="false" customHeight="false" outlineLevel="0" collapsed="false">
      <c r="A334" s="375" t="n">
        <v>36312</v>
      </c>
      <c r="B334" s="294" t="s">
        <v>459</v>
      </c>
      <c r="C334" s="294" t="s">
        <v>464</v>
      </c>
      <c r="D334" s="294" t="s">
        <v>464</v>
      </c>
      <c r="E334" s="493" t="n">
        <v>163500</v>
      </c>
      <c r="F334" s="360" t="n">
        <f aca="false">E334/30</f>
        <v>5450</v>
      </c>
      <c r="G334" s="493" t="n">
        <v>3270</v>
      </c>
    </row>
    <row r="335" customFormat="false" ht="12.75" hidden="false" customHeight="false" outlineLevel="0" collapsed="false">
      <c r="A335" s="375" t="n">
        <v>36342</v>
      </c>
      <c r="B335" s="294" t="s">
        <v>459</v>
      </c>
      <c r="C335" s="294" t="s">
        <v>464</v>
      </c>
      <c r="D335" s="294" t="s">
        <v>464</v>
      </c>
      <c r="E335" s="493" t="n">
        <v>940527</v>
      </c>
      <c r="F335" s="360" t="n">
        <f aca="false">E335/31</f>
        <v>30339.5806451613</v>
      </c>
      <c r="G335" s="493" t="n">
        <v>16126.18</v>
      </c>
    </row>
    <row r="336" customFormat="false" ht="12.75" hidden="false" customHeight="false" outlineLevel="0" collapsed="false">
      <c r="A336" s="375" t="n">
        <v>36373</v>
      </c>
      <c r="B336" s="294" t="s">
        <v>459</v>
      </c>
      <c r="C336" s="294" t="s">
        <v>464</v>
      </c>
      <c r="D336" s="294" t="s">
        <v>464</v>
      </c>
      <c r="E336" s="493" t="n">
        <v>1370900</v>
      </c>
      <c r="F336" s="360" t="n">
        <f aca="false">E336/31</f>
        <v>44222.5806451613</v>
      </c>
      <c r="G336" s="493" t="n">
        <v>27091.78</v>
      </c>
    </row>
    <row r="337" customFormat="false" ht="12.75" hidden="false" customHeight="false" outlineLevel="0" collapsed="false">
      <c r="A337" s="375" t="n">
        <v>36404</v>
      </c>
      <c r="B337" s="294" t="s">
        <v>459</v>
      </c>
      <c r="C337" s="294" t="s">
        <v>464</v>
      </c>
      <c r="D337" s="294" t="s">
        <v>464</v>
      </c>
      <c r="E337" s="493" t="n">
        <v>323376</v>
      </c>
      <c r="F337" s="360" t="n">
        <f aca="false">E337/30</f>
        <v>10779.2</v>
      </c>
      <c r="G337" s="493" t="n">
        <v>5691.27</v>
      </c>
    </row>
    <row r="338" customFormat="false" ht="12.75" hidden="false" customHeight="false" outlineLevel="0" collapsed="false">
      <c r="A338" s="375" t="n">
        <v>36434</v>
      </c>
      <c r="B338" s="294" t="s">
        <v>459</v>
      </c>
      <c r="C338" s="294" t="s">
        <v>464</v>
      </c>
      <c r="D338" s="294" t="s">
        <v>464</v>
      </c>
      <c r="E338" s="493" t="n">
        <v>2972</v>
      </c>
      <c r="F338" s="360" t="n">
        <f aca="false">E338/31</f>
        <v>95.8709677419355</v>
      </c>
      <c r="G338" s="294" t="n">
        <v>59.44</v>
      </c>
    </row>
    <row r="339" customFormat="false" ht="12.75" hidden="false" customHeight="false" outlineLevel="0" collapsed="false">
      <c r="A339" s="375" t="n">
        <v>36465</v>
      </c>
      <c r="B339" s="294" t="s">
        <v>459</v>
      </c>
      <c r="C339" s="294" t="s">
        <v>464</v>
      </c>
      <c r="D339" s="294" t="s">
        <v>464</v>
      </c>
      <c r="E339" s="493" t="n">
        <v>107109</v>
      </c>
      <c r="F339" s="360" t="n">
        <f aca="false">E339/30</f>
        <v>3570.3</v>
      </c>
      <c r="G339" s="493" t="n">
        <v>1874.41</v>
      </c>
    </row>
    <row r="340" customFormat="false" ht="12.75" hidden="false" customHeight="false" outlineLevel="0" collapsed="false">
      <c r="A340" s="375" t="n">
        <v>36495</v>
      </c>
      <c r="B340" s="294" t="s">
        <v>459</v>
      </c>
      <c r="C340" s="294" t="s">
        <v>464</v>
      </c>
      <c r="D340" s="294" t="s">
        <v>464</v>
      </c>
      <c r="E340" s="493" t="n">
        <v>76137</v>
      </c>
      <c r="F340" s="360" t="n">
        <f aca="false">E340/31</f>
        <v>2456.03225806452</v>
      </c>
      <c r="G340" s="493" t="n">
        <v>1395.82</v>
      </c>
    </row>
    <row r="341" customFormat="false" ht="12.75" hidden="false" customHeight="false" outlineLevel="0" collapsed="false">
      <c r="B341" s="294" t="s">
        <v>466</v>
      </c>
      <c r="E341" s="4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1"/>
  <sheetViews>
    <sheetView showFormulas="false" showGridLines="true" showRowColHeaders="true" showZeros="true" rightToLeft="false" tabSelected="false" showOutlineSymbols="true" defaultGridColor="true" view="normal" topLeftCell="A187" colorId="64" zoomScale="100" zoomScaleNormal="100" zoomScalePageLayoutView="100" workbookViewId="0">
      <selection pane="topLeft" activeCell="N203" activeCellId="0" sqref="N203"/>
    </sheetView>
  </sheetViews>
  <sheetFormatPr defaultColWidth="20.9921875" defaultRowHeight="12.75" customHeight="true" zeroHeight="false" outlineLevelRow="0" outlineLevelCol="0"/>
  <cols>
    <col collapsed="false" customWidth="true" hidden="false" outlineLevel="0" max="1" min="1" style="294" width="9.59"/>
    <col collapsed="false" customWidth="true" hidden="false" outlineLevel="0" max="2" min="2" style="294" width="22.99"/>
    <col collapsed="false" customWidth="false" hidden="false" outlineLevel="0" max="257" min="3" style="294" width="20.98"/>
  </cols>
  <sheetData>
    <row r="1" customFormat="false" ht="12.75" hidden="false" customHeight="true" outlineLevel="0" collapsed="false">
      <c r="A1" s="494" t="s">
        <v>0</v>
      </c>
    </row>
    <row r="2" customFormat="false" ht="12.75" hidden="false" customHeight="true" outlineLevel="0" collapsed="false">
      <c r="A2" s="494" t="s">
        <v>467</v>
      </c>
    </row>
    <row r="3" customFormat="false" ht="12.75" hidden="false" customHeight="true" outlineLevel="0" collapsed="false">
      <c r="A3" s="494" t="s">
        <v>468</v>
      </c>
    </row>
    <row r="4" customFormat="false" ht="12.75" hidden="false" customHeight="true" outlineLevel="0" collapsed="false">
      <c r="C4" s="495" t="s">
        <v>233</v>
      </c>
      <c r="D4" s="495" t="s">
        <v>234</v>
      </c>
      <c r="E4" s="495" t="s">
        <v>98</v>
      </c>
      <c r="F4" s="495" t="s">
        <v>99</v>
      </c>
      <c r="G4" s="495" t="s">
        <v>100</v>
      </c>
      <c r="H4" s="495" t="s">
        <v>101</v>
      </c>
      <c r="I4" s="495" t="s">
        <v>102</v>
      </c>
      <c r="J4" s="495" t="s">
        <v>239</v>
      </c>
      <c r="K4" s="495" t="s">
        <v>326</v>
      </c>
      <c r="L4" s="495" t="s">
        <v>241</v>
      </c>
      <c r="M4" s="495" t="s">
        <v>242</v>
      </c>
      <c r="N4" s="495" t="s">
        <v>243</v>
      </c>
      <c r="O4" s="294" t="s">
        <v>469</v>
      </c>
    </row>
    <row r="8" customFormat="false" ht="12.75" hidden="false" customHeight="true" outlineLevel="0" collapsed="false">
      <c r="A8" s="496"/>
      <c r="B8" s="497" t="s">
        <v>109</v>
      </c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6"/>
      <c r="P8" s="496"/>
      <c r="Q8" s="496"/>
      <c r="R8" s="496"/>
      <c r="S8" s="496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/>
      <c r="AK8" s="496"/>
      <c r="AL8" s="496"/>
      <c r="AM8" s="496"/>
      <c r="AN8" s="496"/>
      <c r="AO8" s="496"/>
      <c r="AP8" s="496"/>
      <c r="AQ8" s="496"/>
      <c r="AR8" s="496"/>
      <c r="AS8" s="496"/>
      <c r="AT8" s="496"/>
      <c r="AU8" s="496"/>
      <c r="AV8" s="496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  <c r="ID8" s="496"/>
      <c r="IE8" s="496"/>
      <c r="IF8" s="496"/>
      <c r="IG8" s="496"/>
      <c r="IH8" s="496"/>
      <c r="II8" s="496"/>
      <c r="IJ8" s="496"/>
      <c r="IK8" s="496"/>
      <c r="IL8" s="496"/>
      <c r="IM8" s="496"/>
      <c r="IN8" s="496"/>
      <c r="IO8" s="496"/>
      <c r="IP8" s="496"/>
      <c r="IQ8" s="496"/>
      <c r="IR8" s="496"/>
      <c r="IS8" s="496"/>
      <c r="IT8" s="496"/>
      <c r="IU8" s="496"/>
      <c r="IV8" s="496"/>
      <c r="IW8" s="496"/>
    </row>
    <row r="9" customFormat="false" ht="12.75" hidden="false" customHeight="true" outlineLevel="0" collapsed="false">
      <c r="B9" s="499" t="s">
        <v>470</v>
      </c>
      <c r="C9" s="500" t="n">
        <f aca="false">(C12+C16+C20)/3</f>
        <v>1.56368960361234</v>
      </c>
      <c r="D9" s="500" t="n">
        <f aca="false">(D12+D16+D20)/3</f>
        <v>1.63632704575703</v>
      </c>
      <c r="E9" s="500" t="n">
        <f aca="false">(E12+E16+E20)/3</f>
        <v>1.56979760429575</v>
      </c>
      <c r="F9" s="500" t="n">
        <f aca="false">(F12+F16+F20)/3</f>
        <v>1.41289481190526</v>
      </c>
      <c r="G9" s="500" t="n">
        <f aca="false">(G12+G16+G20)/3</f>
        <v>1.39854621121788</v>
      </c>
      <c r="H9" s="500" t="n">
        <f aca="false">(H12+H16+H20)/3</f>
        <v>1.2324261210509</v>
      </c>
      <c r="I9" s="500" t="n">
        <f aca="false">(I12+I16+I20)/3</f>
        <v>1.28681211568586</v>
      </c>
      <c r="J9" s="500" t="n">
        <f aca="false">(J24+J16+J20)/3</f>
        <v>1.10238776689792</v>
      </c>
      <c r="K9" s="500" t="n">
        <f aca="false">(K24+K16+K20)/3</f>
        <v>1.00767837870248</v>
      </c>
      <c r="L9" s="500" t="n">
        <f aca="false">(L24+L16+L20)/3</f>
        <v>0.890672816558814</v>
      </c>
      <c r="M9" s="500" t="n">
        <f aca="false">(M24+M16+M20)/3</f>
        <v>1.11685850658589</v>
      </c>
      <c r="N9" s="500" t="n">
        <f aca="false">(N24+N16+N20)/3</f>
        <v>1.19497440752545</v>
      </c>
    </row>
    <row r="10" customFormat="false" ht="12.75" hidden="false" customHeight="true" outlineLevel="0" collapsed="false">
      <c r="A10" s="294" t="n">
        <v>2000</v>
      </c>
      <c r="B10" s="501" t="s">
        <v>471</v>
      </c>
      <c r="C10" s="502" t="n">
        <v>269</v>
      </c>
      <c r="D10" s="503" t="n">
        <v>269</v>
      </c>
      <c r="E10" s="503" t="n">
        <v>269</v>
      </c>
      <c r="F10" s="503" t="n">
        <v>265</v>
      </c>
      <c r="G10" s="503" t="n">
        <v>265</v>
      </c>
      <c r="H10" s="503" t="n">
        <v>269.3</v>
      </c>
      <c r="I10" s="503" t="n">
        <v>265</v>
      </c>
      <c r="J10" s="503"/>
      <c r="K10" s="503"/>
      <c r="L10" s="503"/>
      <c r="M10" s="503"/>
      <c r="N10" s="504"/>
    </row>
    <row r="11" customFormat="false" ht="12.75" hidden="false" customHeight="true" outlineLevel="0" collapsed="false">
      <c r="B11" s="294" t="s">
        <v>472</v>
      </c>
      <c r="C11" s="505" t="n">
        <f aca="false">397.5+43.3</f>
        <v>440.8</v>
      </c>
      <c r="D11" s="506" t="n">
        <f aca="false">426.3+12.1</f>
        <v>438.4</v>
      </c>
      <c r="E11" s="506" t="n">
        <f aca="false">448.9+12</f>
        <v>460.9</v>
      </c>
      <c r="F11" s="506" t="n">
        <f aca="false">324.921+8.059</f>
        <v>332.98</v>
      </c>
      <c r="G11" s="506" t="n">
        <f aca="false">342.2+63.7</f>
        <v>405.9</v>
      </c>
      <c r="H11" s="506" t="n">
        <f aca="false">245.9+142</f>
        <v>387.9</v>
      </c>
      <c r="I11" s="506" t="n">
        <f aca="false">258.27+146.675</f>
        <v>404.945</v>
      </c>
      <c r="J11" s="506"/>
      <c r="K11" s="506"/>
      <c r="L11" s="506"/>
      <c r="M11" s="506"/>
      <c r="N11" s="507"/>
    </row>
    <row r="12" customFormat="false" ht="12.75" hidden="false" customHeight="true" outlineLevel="0" collapsed="false">
      <c r="B12" s="294" t="s">
        <v>118</v>
      </c>
      <c r="C12" s="508" t="n">
        <f aca="false">C11/C10</f>
        <v>1.63866171003717</v>
      </c>
      <c r="D12" s="508" t="n">
        <f aca="false">D11/D10</f>
        <v>1.62973977695167</v>
      </c>
      <c r="E12" s="508" t="n">
        <f aca="false">E11/E10</f>
        <v>1.71338289962825</v>
      </c>
      <c r="F12" s="508" t="n">
        <f aca="false">F11/F10</f>
        <v>1.25652830188679</v>
      </c>
      <c r="G12" s="508" t="n">
        <f aca="false">G11/G10</f>
        <v>1.53169811320755</v>
      </c>
      <c r="H12" s="508" t="n">
        <f aca="false">H11/H10</f>
        <v>1.44040103973264</v>
      </c>
      <c r="I12" s="508" t="n">
        <f aca="false">I11/I10</f>
        <v>1.52809433962264</v>
      </c>
      <c r="J12" s="508" t="e">
        <f aca="false">J11/J10</f>
        <v>#DIV/0!</v>
      </c>
      <c r="K12" s="508" t="e">
        <f aca="false">K11/K10</f>
        <v>#DIV/0!</v>
      </c>
      <c r="L12" s="508" t="e">
        <f aca="false">L11/L10</f>
        <v>#DIV/0!</v>
      </c>
      <c r="M12" s="508" t="e">
        <f aca="false">M11/M10</f>
        <v>#DIV/0!</v>
      </c>
      <c r="N12" s="508" t="e">
        <f aca="false">N11/N10</f>
        <v>#DIV/0!</v>
      </c>
    </row>
    <row r="13" customFormat="false" ht="12.75" hidden="false" customHeight="true" outlineLevel="0" collapsed="false">
      <c r="B13" s="499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customFormat="false" ht="12.75" hidden="false" customHeight="true" outlineLevel="0" collapsed="false">
      <c r="A14" s="98" t="n">
        <v>1999</v>
      </c>
      <c r="B14" s="501" t="s">
        <v>471</v>
      </c>
      <c r="C14" s="509" t="n">
        <v>269</v>
      </c>
      <c r="D14" s="510" t="n">
        <v>269</v>
      </c>
      <c r="E14" s="510" t="n">
        <v>269</v>
      </c>
      <c r="F14" s="510" t="n">
        <v>269</v>
      </c>
      <c r="G14" s="510" t="n">
        <v>269</v>
      </c>
      <c r="H14" s="510" t="n">
        <v>269</v>
      </c>
      <c r="I14" s="510" t="n">
        <v>269</v>
      </c>
      <c r="J14" s="510" t="n">
        <v>269</v>
      </c>
      <c r="K14" s="510" t="n">
        <v>269</v>
      </c>
      <c r="L14" s="510" t="n">
        <v>269</v>
      </c>
      <c r="M14" s="510" t="n">
        <v>269</v>
      </c>
      <c r="N14" s="511" t="n">
        <v>269</v>
      </c>
      <c r="O14" s="512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customFormat="false" ht="12.75" hidden="false" customHeight="true" outlineLevel="0" collapsed="false">
      <c r="B15" s="294" t="s">
        <v>472</v>
      </c>
      <c r="C15" s="332" t="n">
        <f aca="false">371+56.1</f>
        <v>427.1</v>
      </c>
      <c r="D15" s="333" t="n">
        <f aca="false">399.9+56.1</f>
        <v>456</v>
      </c>
      <c r="E15" s="333" t="n">
        <f aca="false">360.5+76</f>
        <v>436.5</v>
      </c>
      <c r="F15" s="333" t="n">
        <f aca="false">335.7+97.5</f>
        <v>433.2</v>
      </c>
      <c r="G15" s="333" t="n">
        <f aca="false">305.3+122.4</f>
        <v>427.7</v>
      </c>
      <c r="H15" s="333" t="n">
        <f aca="false">210.2+192.2</f>
        <v>402.4</v>
      </c>
      <c r="I15" s="333" t="n">
        <f aca="false">208.9+210.4</f>
        <v>419.3</v>
      </c>
      <c r="J15" s="333" t="n">
        <f aca="false">209.8+211.4</f>
        <v>421.2</v>
      </c>
      <c r="K15" s="333" t="n">
        <f aca="false">201.9+206.8</f>
        <v>408.7</v>
      </c>
      <c r="L15" s="333" t="n">
        <v>308</v>
      </c>
      <c r="M15" s="333" t="n">
        <v>336</v>
      </c>
      <c r="N15" s="337" t="n">
        <v>428.1</v>
      </c>
      <c r="O15" s="513"/>
    </row>
    <row r="16" customFormat="false" ht="12.75" hidden="false" customHeight="true" outlineLevel="0" collapsed="false">
      <c r="B16" s="294" t="s">
        <v>118</v>
      </c>
      <c r="C16" s="508" t="n">
        <f aca="false">C15/C14</f>
        <v>1.58773234200744</v>
      </c>
      <c r="D16" s="514" t="n">
        <f aca="false">D15/D14</f>
        <v>1.69516728624535</v>
      </c>
      <c r="E16" s="514" t="n">
        <f aca="false">E15/E14</f>
        <v>1.62267657992565</v>
      </c>
      <c r="F16" s="514" t="n">
        <f aca="false">F15/F14</f>
        <v>1.61040892193309</v>
      </c>
      <c r="G16" s="514" t="n">
        <f aca="false">G15/G14</f>
        <v>1.58996282527881</v>
      </c>
      <c r="H16" s="514" t="n">
        <f aca="false">H15/H14</f>
        <v>1.49591078066915</v>
      </c>
      <c r="I16" s="514" t="n">
        <f aca="false">I15/I14</f>
        <v>1.55873605947955</v>
      </c>
      <c r="J16" s="514" t="n">
        <f aca="false">J15/J14</f>
        <v>1.56579925650558</v>
      </c>
      <c r="K16" s="514" t="n">
        <f aca="false">K15/K14</f>
        <v>1.51933085501859</v>
      </c>
      <c r="L16" s="514" t="n">
        <f aca="false">L15/L14</f>
        <v>1.14498141263941</v>
      </c>
      <c r="M16" s="514" t="n">
        <f aca="false">M15/M14</f>
        <v>1.24907063197026</v>
      </c>
      <c r="N16" s="515" t="n">
        <f aca="false">N15/N14</f>
        <v>1.59144981412639</v>
      </c>
      <c r="O16" s="516"/>
    </row>
    <row r="17" customFormat="false" ht="12.75" hidden="false" customHeight="true" outlineLevel="0" collapsed="false">
      <c r="N17" s="337"/>
      <c r="O17" s="333"/>
    </row>
    <row r="18" customFormat="false" ht="12.75" hidden="false" customHeight="true" outlineLevel="0" collapsed="false">
      <c r="A18" s="294" t="n">
        <v>1998</v>
      </c>
      <c r="B18" s="501" t="s">
        <v>471</v>
      </c>
      <c r="C18" s="328" t="n">
        <v>321.3</v>
      </c>
      <c r="D18" s="329" t="n">
        <v>270</v>
      </c>
      <c r="E18" s="329" t="n">
        <v>270</v>
      </c>
      <c r="F18" s="329" t="n">
        <v>269</v>
      </c>
      <c r="G18" s="329" t="n">
        <v>269</v>
      </c>
      <c r="H18" s="329" t="n">
        <v>269</v>
      </c>
      <c r="I18" s="329" t="n">
        <v>269</v>
      </c>
      <c r="J18" s="329" t="n">
        <v>269</v>
      </c>
      <c r="K18" s="329" t="n">
        <v>269</v>
      </c>
      <c r="L18" s="329" t="n">
        <v>269</v>
      </c>
      <c r="M18" s="329" t="n">
        <v>269</v>
      </c>
      <c r="N18" s="331" t="n">
        <v>277.1</v>
      </c>
      <c r="O18" s="512"/>
    </row>
    <row r="19" customFormat="false" ht="12.75" hidden="false" customHeight="true" outlineLevel="0" collapsed="false">
      <c r="B19" s="294" t="s">
        <v>472</v>
      </c>
      <c r="C19" s="332" t="n">
        <v>470.6</v>
      </c>
      <c r="D19" s="333" t="n">
        <v>427.7</v>
      </c>
      <c r="E19" s="333" t="n">
        <v>370.8</v>
      </c>
      <c r="F19" s="333" t="n">
        <v>369</v>
      </c>
      <c r="G19" s="333" t="n">
        <v>288.9</v>
      </c>
      <c r="H19" s="333" t="n">
        <v>204.7</v>
      </c>
      <c r="I19" s="333" t="n">
        <v>208.1</v>
      </c>
      <c r="J19" s="333" t="n">
        <v>203.8</v>
      </c>
      <c r="K19" s="333" t="n">
        <v>208.3</v>
      </c>
      <c r="L19" s="333" t="n">
        <v>188.3</v>
      </c>
      <c r="M19" s="333" t="n">
        <v>324.5</v>
      </c>
      <c r="N19" s="337" t="n">
        <v>381</v>
      </c>
      <c r="O19" s="513"/>
    </row>
    <row r="20" customFormat="false" ht="12.75" hidden="false" customHeight="true" outlineLevel="0" collapsed="false">
      <c r="B20" s="294" t="s">
        <v>118</v>
      </c>
      <c r="C20" s="508" t="n">
        <f aca="false">C19/C18</f>
        <v>1.46467475879241</v>
      </c>
      <c r="D20" s="514" t="n">
        <f aca="false">D19/D18</f>
        <v>1.58407407407407</v>
      </c>
      <c r="E20" s="514" t="n">
        <f aca="false">E19/E18</f>
        <v>1.37333333333333</v>
      </c>
      <c r="F20" s="514" t="n">
        <f aca="false">F19/F18</f>
        <v>1.37174721189591</v>
      </c>
      <c r="G20" s="514" t="n">
        <f aca="false">G19/G18</f>
        <v>1.07397769516729</v>
      </c>
      <c r="H20" s="514" t="n">
        <f aca="false">H19/H18</f>
        <v>0.760966542750929</v>
      </c>
      <c r="I20" s="514" t="n">
        <f aca="false">I19/I18</f>
        <v>0.77360594795539</v>
      </c>
      <c r="J20" s="514" t="n">
        <f aca="false">J19/J18</f>
        <v>0.757620817843866</v>
      </c>
      <c r="K20" s="514" t="n">
        <f aca="false">K19/K18</f>
        <v>0.774349442379182</v>
      </c>
      <c r="L20" s="514" t="n">
        <f aca="false">L19/L18</f>
        <v>0.7</v>
      </c>
      <c r="M20" s="514" t="n">
        <f aca="false">M19/M18</f>
        <v>1.20631970260223</v>
      </c>
      <c r="N20" s="515" t="n">
        <f aca="false">N19/N18</f>
        <v>1.37495488993143</v>
      </c>
      <c r="O20" s="516"/>
    </row>
    <row r="21" customFormat="false" ht="12.75" hidden="false" customHeight="true" outlineLevel="0" collapsed="false"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7"/>
      <c r="O21" s="516"/>
    </row>
    <row r="22" customFormat="false" ht="12.75" hidden="false" customHeight="true" outlineLevel="0" collapsed="false">
      <c r="A22" s="294" t="n">
        <v>1997</v>
      </c>
      <c r="B22" s="501" t="s">
        <v>471</v>
      </c>
      <c r="C22" s="518" t="n">
        <v>270</v>
      </c>
      <c r="D22" s="519" t="n">
        <v>270</v>
      </c>
      <c r="E22" s="519" t="n">
        <v>270</v>
      </c>
      <c r="F22" s="519" t="n">
        <v>270</v>
      </c>
      <c r="G22" s="519" t="n">
        <v>338.7</v>
      </c>
      <c r="H22" s="519" t="n">
        <v>295</v>
      </c>
      <c r="I22" s="519" t="n">
        <v>329.1</v>
      </c>
      <c r="J22" s="519" t="n">
        <v>239.9</v>
      </c>
      <c r="K22" s="519" t="n">
        <v>310</v>
      </c>
      <c r="L22" s="519" t="n">
        <v>270</v>
      </c>
      <c r="M22" s="519" t="n">
        <v>270</v>
      </c>
      <c r="N22" s="520" t="n">
        <v>270</v>
      </c>
      <c r="O22" s="513"/>
    </row>
    <row r="23" customFormat="false" ht="12.75" hidden="false" customHeight="true" outlineLevel="0" collapsed="false">
      <c r="B23" s="294" t="s">
        <v>472</v>
      </c>
      <c r="C23" s="521" t="n">
        <v>220.3</v>
      </c>
      <c r="D23" s="522" t="n">
        <v>214</v>
      </c>
      <c r="E23" s="522" t="n">
        <v>254</v>
      </c>
      <c r="F23" s="522" t="n">
        <v>215.8</v>
      </c>
      <c r="G23" s="522" t="n">
        <v>259.2</v>
      </c>
      <c r="H23" s="522" t="n">
        <v>244.3</v>
      </c>
      <c r="I23" s="522" t="n">
        <v>249.7</v>
      </c>
      <c r="J23" s="522" t="n">
        <v>236</v>
      </c>
      <c r="K23" s="522" t="n">
        <v>226.1</v>
      </c>
      <c r="L23" s="522" t="n">
        <v>223.3</v>
      </c>
      <c r="M23" s="522" t="n">
        <v>241.7</v>
      </c>
      <c r="N23" s="523" t="n">
        <v>167</v>
      </c>
      <c r="O23" s="513"/>
    </row>
    <row r="24" customFormat="false" ht="12.75" hidden="false" customHeight="true" outlineLevel="0" collapsed="false">
      <c r="B24" s="294" t="s">
        <v>118</v>
      </c>
      <c r="C24" s="508" t="n">
        <f aca="false">C23/C22</f>
        <v>0.815925925925926</v>
      </c>
      <c r="D24" s="514" t="n">
        <f aca="false">D23/D22</f>
        <v>0.792592592592593</v>
      </c>
      <c r="E24" s="514" t="n">
        <f aca="false">E23/E22</f>
        <v>0.940740740740741</v>
      </c>
      <c r="F24" s="514" t="n">
        <f aca="false">F23/F22</f>
        <v>0.799259259259259</v>
      </c>
      <c r="G24" s="514" t="n">
        <f aca="false">G23/G22</f>
        <v>0.765279007971656</v>
      </c>
      <c r="H24" s="514" t="n">
        <f aca="false">H23/H22</f>
        <v>0.828135593220339</v>
      </c>
      <c r="I24" s="514" t="n">
        <f aca="false">I23/I22</f>
        <v>0.758735946520814</v>
      </c>
      <c r="J24" s="514" t="n">
        <f aca="false">J23/J22</f>
        <v>0.98374322634431</v>
      </c>
      <c r="K24" s="514" t="n">
        <f aca="false">K23/K22</f>
        <v>0.729354838709677</v>
      </c>
      <c r="L24" s="514" t="n">
        <f aca="false">L23/L22</f>
        <v>0.827037037037037</v>
      </c>
      <c r="M24" s="514" t="n">
        <f aca="false">M23/M22</f>
        <v>0.895185185185185</v>
      </c>
      <c r="N24" s="515" t="n">
        <f aca="false">N23/N22</f>
        <v>0.618518518518519</v>
      </c>
      <c r="O24" s="516"/>
    </row>
    <row r="25" customFormat="false" ht="12.75" hidden="false" customHeight="true" outlineLevel="0" collapsed="false"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</row>
    <row r="26" customFormat="false" ht="12.75" hidden="false" customHeight="true" outlineLevel="0" collapsed="false">
      <c r="O26" s="333"/>
    </row>
    <row r="27" customFormat="false" ht="12.75" hidden="false" customHeight="true" outlineLevel="0" collapsed="false">
      <c r="A27" s="496"/>
      <c r="B27" s="497" t="s">
        <v>113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524"/>
      <c r="P27" s="496"/>
      <c r="Q27" s="496"/>
      <c r="R27" s="496"/>
      <c r="S27" s="496"/>
      <c r="T27" s="496"/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  <c r="AI27" s="496"/>
      <c r="AJ27" s="496"/>
      <c r="AK27" s="496"/>
      <c r="AL27" s="496"/>
      <c r="AM27" s="496"/>
      <c r="AN27" s="496"/>
      <c r="AO27" s="496"/>
      <c r="AP27" s="496"/>
      <c r="AQ27" s="496"/>
      <c r="AR27" s="496"/>
      <c r="AS27" s="496"/>
      <c r="AT27" s="496"/>
      <c r="AU27" s="496"/>
      <c r="AV27" s="496"/>
      <c r="AW27" s="496"/>
      <c r="AX27" s="496"/>
      <c r="AY27" s="496"/>
      <c r="AZ27" s="496"/>
      <c r="BA27" s="496"/>
      <c r="BB27" s="496"/>
      <c r="BC27" s="496"/>
      <c r="BD27" s="496"/>
      <c r="BE27" s="496"/>
      <c r="BF27" s="496"/>
      <c r="BG27" s="496"/>
      <c r="BH27" s="496"/>
      <c r="BI27" s="496"/>
      <c r="BJ27" s="496"/>
      <c r="BK27" s="496"/>
      <c r="BL27" s="496"/>
      <c r="BM27" s="496"/>
      <c r="BN27" s="496"/>
      <c r="BO27" s="496"/>
      <c r="BP27" s="496"/>
      <c r="BQ27" s="496"/>
      <c r="BR27" s="496"/>
      <c r="BS27" s="496"/>
      <c r="BT27" s="496"/>
      <c r="BU27" s="496"/>
      <c r="BV27" s="496"/>
      <c r="BW27" s="496"/>
      <c r="BX27" s="496"/>
      <c r="BY27" s="496"/>
      <c r="BZ27" s="496"/>
      <c r="CA27" s="496"/>
      <c r="CB27" s="496"/>
      <c r="CC27" s="496"/>
      <c r="CD27" s="496"/>
      <c r="CE27" s="496"/>
      <c r="CF27" s="496"/>
      <c r="CG27" s="496"/>
      <c r="CH27" s="496"/>
      <c r="CI27" s="496"/>
      <c r="CJ27" s="496"/>
      <c r="CK27" s="496"/>
      <c r="CL27" s="496"/>
      <c r="CM27" s="496"/>
      <c r="CN27" s="496"/>
      <c r="CO27" s="496"/>
      <c r="CP27" s="496"/>
      <c r="CQ27" s="496"/>
      <c r="CR27" s="496"/>
      <c r="CS27" s="496"/>
      <c r="CT27" s="496"/>
      <c r="CU27" s="496"/>
      <c r="CV27" s="496"/>
      <c r="CW27" s="496"/>
      <c r="CX27" s="496"/>
      <c r="CY27" s="496"/>
      <c r="CZ27" s="496"/>
      <c r="DA27" s="496"/>
      <c r="DB27" s="496"/>
      <c r="DC27" s="496"/>
      <c r="DD27" s="496"/>
      <c r="DE27" s="496"/>
      <c r="DF27" s="496"/>
      <c r="DG27" s="496"/>
      <c r="DH27" s="496"/>
      <c r="DI27" s="496"/>
      <c r="DJ27" s="496"/>
      <c r="DK27" s="496"/>
      <c r="DL27" s="496"/>
      <c r="DM27" s="496"/>
      <c r="DN27" s="496"/>
      <c r="DO27" s="496"/>
      <c r="DP27" s="496"/>
      <c r="DQ27" s="496"/>
      <c r="DR27" s="496"/>
      <c r="DS27" s="496"/>
      <c r="DT27" s="496"/>
      <c r="DU27" s="496"/>
      <c r="DV27" s="496"/>
      <c r="DW27" s="496"/>
      <c r="DX27" s="496"/>
      <c r="DY27" s="496"/>
      <c r="DZ27" s="496"/>
      <c r="EA27" s="496"/>
      <c r="EB27" s="496"/>
      <c r="EC27" s="496"/>
      <c r="ED27" s="496"/>
      <c r="EE27" s="496"/>
      <c r="EF27" s="496"/>
      <c r="EG27" s="496"/>
      <c r="EH27" s="496"/>
      <c r="EI27" s="496"/>
      <c r="EJ27" s="496"/>
      <c r="EK27" s="496"/>
      <c r="EL27" s="496"/>
      <c r="EM27" s="496"/>
      <c r="EN27" s="496"/>
      <c r="EO27" s="496"/>
      <c r="EP27" s="496"/>
      <c r="EQ27" s="496"/>
      <c r="ER27" s="496"/>
      <c r="ES27" s="496"/>
      <c r="ET27" s="496"/>
      <c r="EU27" s="496"/>
      <c r="EV27" s="496"/>
      <c r="EW27" s="496"/>
      <c r="EX27" s="496"/>
      <c r="EY27" s="496"/>
      <c r="EZ27" s="496"/>
      <c r="FA27" s="496"/>
      <c r="FB27" s="496"/>
      <c r="FC27" s="496"/>
      <c r="FD27" s="496"/>
      <c r="FE27" s="496"/>
      <c r="FF27" s="496"/>
      <c r="FG27" s="496"/>
      <c r="FH27" s="496"/>
      <c r="FI27" s="496"/>
      <c r="FJ27" s="496"/>
      <c r="FK27" s="496"/>
      <c r="FL27" s="496"/>
      <c r="FM27" s="496"/>
      <c r="FN27" s="496"/>
      <c r="FO27" s="496"/>
      <c r="FP27" s="496"/>
      <c r="FQ27" s="496"/>
      <c r="FR27" s="496"/>
      <c r="FS27" s="496"/>
      <c r="FT27" s="496"/>
      <c r="FU27" s="496"/>
      <c r="FV27" s="496"/>
      <c r="FW27" s="496"/>
      <c r="FX27" s="496"/>
      <c r="FY27" s="496"/>
      <c r="FZ27" s="496"/>
      <c r="GA27" s="496"/>
      <c r="GB27" s="496"/>
      <c r="GC27" s="496"/>
      <c r="GD27" s="496"/>
      <c r="GE27" s="496"/>
      <c r="GF27" s="496"/>
      <c r="GG27" s="496"/>
      <c r="GH27" s="496"/>
      <c r="GI27" s="496"/>
      <c r="GJ27" s="496"/>
      <c r="GK27" s="496"/>
      <c r="GL27" s="496"/>
      <c r="GM27" s="496"/>
      <c r="GN27" s="496"/>
      <c r="GO27" s="496"/>
      <c r="GP27" s="496"/>
      <c r="GQ27" s="496"/>
      <c r="GR27" s="496"/>
      <c r="GS27" s="496"/>
      <c r="GT27" s="496"/>
      <c r="GU27" s="496"/>
      <c r="GV27" s="496"/>
      <c r="GW27" s="496"/>
      <c r="GX27" s="496"/>
      <c r="GY27" s="496"/>
      <c r="GZ27" s="496"/>
      <c r="HA27" s="496"/>
      <c r="HB27" s="496"/>
      <c r="HC27" s="496"/>
      <c r="HD27" s="496"/>
      <c r="HE27" s="496"/>
      <c r="HF27" s="496"/>
      <c r="HG27" s="496"/>
      <c r="HH27" s="496"/>
      <c r="HI27" s="496"/>
      <c r="HJ27" s="496"/>
      <c r="HK27" s="496"/>
      <c r="HL27" s="496"/>
      <c r="HM27" s="496"/>
      <c r="HN27" s="496"/>
      <c r="HO27" s="496"/>
      <c r="HP27" s="496"/>
      <c r="HQ27" s="496"/>
      <c r="HR27" s="496"/>
      <c r="HS27" s="496"/>
      <c r="HT27" s="496"/>
      <c r="HU27" s="496"/>
      <c r="HV27" s="496"/>
      <c r="HW27" s="496"/>
      <c r="HX27" s="496"/>
      <c r="HY27" s="496"/>
      <c r="HZ27" s="496"/>
      <c r="IA27" s="496"/>
      <c r="IB27" s="496"/>
      <c r="IC27" s="496"/>
      <c r="ID27" s="496"/>
      <c r="IE27" s="496"/>
      <c r="IF27" s="496"/>
      <c r="IG27" s="496"/>
      <c r="IH27" s="496"/>
      <c r="II27" s="496"/>
      <c r="IJ27" s="496"/>
      <c r="IK27" s="496"/>
      <c r="IL27" s="496"/>
      <c r="IM27" s="496"/>
      <c r="IN27" s="496"/>
      <c r="IO27" s="496"/>
      <c r="IP27" s="496"/>
      <c r="IQ27" s="496"/>
      <c r="IR27" s="496"/>
      <c r="IS27" s="496"/>
      <c r="IT27" s="496"/>
      <c r="IU27" s="496"/>
      <c r="IV27" s="496"/>
      <c r="IW27" s="496"/>
    </row>
    <row r="28" customFormat="false" ht="12.75" hidden="false" customHeight="true" outlineLevel="0" collapsed="false">
      <c r="B28" s="499" t="s">
        <v>470</v>
      </c>
      <c r="C28" s="500" t="n">
        <f aca="false">(C31+C35+C39)/3</f>
        <v>0.619502691897285</v>
      </c>
      <c r="D28" s="500" t="n">
        <f aca="false">(D31+D35+D39)/3</f>
        <v>0.593933615688168</v>
      </c>
      <c r="E28" s="500" t="n">
        <f aca="false">(E31+E35+E39)/3</f>
        <v>0.515222511962766</v>
      </c>
      <c r="F28" s="500" t="n">
        <f aca="false">(F31+F35+F39)/3</f>
        <v>0.488919585780522</v>
      </c>
      <c r="G28" s="500" t="n">
        <f aca="false">(G31+G35+G39)/3</f>
        <v>0.433769756023342</v>
      </c>
      <c r="H28" s="500" t="n">
        <f aca="false">(H31+H35+H39)/3</f>
        <v>0.45662515503449</v>
      </c>
      <c r="I28" s="500" t="n">
        <f aca="false">(I31+I35+I39)/3</f>
        <v>0.52220328714912</v>
      </c>
      <c r="J28" s="500" t="n">
        <f aca="false">(J43+J35+J39)/3</f>
        <v>0.456634323399535</v>
      </c>
      <c r="K28" s="500" t="n">
        <f aca="false">(K43+K35+K39)/3</f>
        <v>0.497098651132634</v>
      </c>
      <c r="L28" s="500" t="n">
        <f aca="false">(L43+L35+L39)/3</f>
        <v>0.522122281386389</v>
      </c>
      <c r="M28" s="500" t="n">
        <f aca="false">(M43+M35+M39)/3</f>
        <v>0.606177223908606</v>
      </c>
      <c r="N28" s="500" t="n">
        <f aca="false">(N43+N35+N39)/3</f>
        <v>0.485112318148799</v>
      </c>
    </row>
    <row r="29" customFormat="false" ht="12.75" hidden="false" customHeight="true" outlineLevel="0" collapsed="false">
      <c r="A29" s="294" t="n">
        <v>2000</v>
      </c>
      <c r="B29" s="501" t="s">
        <v>471</v>
      </c>
      <c r="C29" s="502" t="n">
        <v>553.9</v>
      </c>
      <c r="D29" s="503" t="n">
        <v>547.2</v>
      </c>
      <c r="E29" s="503" t="n">
        <v>559.2</v>
      </c>
      <c r="F29" s="503" t="n">
        <v>514.817</v>
      </c>
      <c r="G29" s="503" t="n">
        <v>535.6</v>
      </c>
      <c r="H29" s="503" t="n">
        <v>538.3</v>
      </c>
      <c r="I29" s="503" t="n">
        <v>574.379</v>
      </c>
      <c r="J29" s="503"/>
      <c r="K29" s="503"/>
      <c r="L29" s="503"/>
      <c r="M29" s="503"/>
      <c r="N29" s="504"/>
      <c r="O29" s="333"/>
    </row>
    <row r="30" customFormat="false" ht="12.75" hidden="false" customHeight="true" outlineLevel="0" collapsed="false">
      <c r="B30" s="294" t="s">
        <v>472</v>
      </c>
      <c r="C30" s="505" t="n">
        <f aca="false">279.5+7.1</f>
        <v>286.6</v>
      </c>
      <c r="D30" s="506" t="n">
        <f aca="false">270+4.2</f>
        <v>274.2</v>
      </c>
      <c r="E30" s="506" t="n">
        <f aca="false">253.4+3.3</f>
        <v>256.7</v>
      </c>
      <c r="F30" s="506" t="n">
        <f aca="false">212.04+5.017</f>
        <v>217.057</v>
      </c>
      <c r="G30" s="506" t="n">
        <f aca="false">179.8+5.1</f>
        <v>184.9</v>
      </c>
      <c r="H30" s="506" t="n">
        <f aca="false">352.5+5.4</f>
        <v>357.9</v>
      </c>
      <c r="I30" s="506" t="n">
        <f aca="false">346.975+5.011</f>
        <v>351.986</v>
      </c>
      <c r="J30" s="506"/>
      <c r="K30" s="506"/>
      <c r="L30" s="506"/>
      <c r="M30" s="506"/>
      <c r="N30" s="507"/>
      <c r="O30" s="333"/>
    </row>
    <row r="31" customFormat="false" ht="12.75" hidden="false" customHeight="true" outlineLevel="0" collapsed="false">
      <c r="B31" s="294" t="s">
        <v>118</v>
      </c>
      <c r="C31" s="508" t="n">
        <f aca="false">C30/C29</f>
        <v>0.517421917313595</v>
      </c>
      <c r="D31" s="514" t="n">
        <f aca="false">D30/D29</f>
        <v>0.50109649122807</v>
      </c>
      <c r="E31" s="514" t="n">
        <f aca="false">E30/E29</f>
        <v>0.459048640915594</v>
      </c>
      <c r="F31" s="514" t="n">
        <f aca="false">F30/F29</f>
        <v>0.421619721182478</v>
      </c>
      <c r="G31" s="514" t="n">
        <f aca="false">G30/G29</f>
        <v>0.345220313666916</v>
      </c>
      <c r="H31" s="514" t="n">
        <f aca="false">H30/H29</f>
        <v>0.66487088983838</v>
      </c>
      <c r="I31" s="514" t="n">
        <f aca="false">I30/I29</f>
        <v>0.612811401531045</v>
      </c>
      <c r="J31" s="514" t="e">
        <f aca="false">J30/J29</f>
        <v>#DIV/0!</v>
      </c>
      <c r="K31" s="514" t="e">
        <f aca="false">K30/K29</f>
        <v>#DIV/0!</v>
      </c>
      <c r="L31" s="514" t="e">
        <f aca="false">L30/L29</f>
        <v>#DIV/0!</v>
      </c>
      <c r="M31" s="514" t="e">
        <f aca="false">M30/M29</f>
        <v>#DIV/0!</v>
      </c>
      <c r="N31" s="515" t="e">
        <f aca="false">N30/N29</f>
        <v>#DIV/0!</v>
      </c>
      <c r="O31" s="333"/>
    </row>
    <row r="32" customFormat="false" ht="12.75" hidden="false" customHeight="true" outlineLevel="0" collapsed="false">
      <c r="B32" s="499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333"/>
    </row>
    <row r="33" customFormat="false" ht="12.75" hidden="false" customHeight="true" outlineLevel="0" collapsed="false">
      <c r="A33" s="98" t="n">
        <v>1999</v>
      </c>
      <c r="B33" s="501" t="s">
        <v>471</v>
      </c>
      <c r="C33" s="509" t="n">
        <v>589.9</v>
      </c>
      <c r="D33" s="510" t="n">
        <v>589.6</v>
      </c>
      <c r="E33" s="510" t="n">
        <v>547.6</v>
      </c>
      <c r="F33" s="510" t="n">
        <v>547.6</v>
      </c>
      <c r="G33" s="510" t="n">
        <v>547.6</v>
      </c>
      <c r="H33" s="510" t="n">
        <v>547.6</v>
      </c>
      <c r="I33" s="510" t="n">
        <v>547.6</v>
      </c>
      <c r="J33" s="510" t="n">
        <v>548.1</v>
      </c>
      <c r="K33" s="510" t="n">
        <v>542.7</v>
      </c>
      <c r="L33" s="510" t="n">
        <v>542.7</v>
      </c>
      <c r="M33" s="510" t="n">
        <v>563.5</v>
      </c>
      <c r="N33" s="511" t="n">
        <f aca="false">637.4+85</f>
        <v>722.4</v>
      </c>
      <c r="O33" s="513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</row>
    <row r="34" customFormat="false" ht="12.75" hidden="false" customHeight="true" outlineLevel="0" collapsed="false">
      <c r="B34" s="294" t="s">
        <v>472</v>
      </c>
      <c r="C34" s="332" t="n">
        <f aca="false">362.7+18.2</f>
        <v>380.9</v>
      </c>
      <c r="D34" s="333" t="n">
        <f aca="false">391.6+13.6</f>
        <v>405.2</v>
      </c>
      <c r="E34" s="333" t="n">
        <f aca="false">226.2+9.8</f>
        <v>236</v>
      </c>
      <c r="F34" s="333" t="n">
        <f aca="false">182.4+6.5</f>
        <v>188.9</v>
      </c>
      <c r="G34" s="333" t="n">
        <f aca="false">188.6+6</f>
        <v>194.6</v>
      </c>
      <c r="H34" s="333" t="n">
        <f aca="false">199.2+3.8</f>
        <v>203</v>
      </c>
      <c r="I34" s="333" t="n">
        <f aca="false">253.3+9.6</f>
        <v>262.9</v>
      </c>
      <c r="J34" s="333" t="n">
        <f aca="false">130.5+6.2</f>
        <v>136.7</v>
      </c>
      <c r="K34" s="333" t="n">
        <f aca="false">246.8+3.5</f>
        <v>250.3</v>
      </c>
      <c r="L34" s="333" t="n">
        <v>440</v>
      </c>
      <c r="M34" s="333" t="n">
        <v>527</v>
      </c>
      <c r="N34" s="337" t="n">
        <v>341.5</v>
      </c>
      <c r="O34" s="513"/>
    </row>
    <row r="35" customFormat="false" ht="12.75" hidden="false" customHeight="true" outlineLevel="0" collapsed="false">
      <c r="B35" s="294" t="s">
        <v>118</v>
      </c>
      <c r="C35" s="508" t="n">
        <f aca="false">C34/C33</f>
        <v>0.645702661468045</v>
      </c>
      <c r="D35" s="514" t="n">
        <f aca="false">D34/D33</f>
        <v>0.687245590230665</v>
      </c>
      <c r="E35" s="514" t="n">
        <f aca="false">E34/E33</f>
        <v>0.430971512052593</v>
      </c>
      <c r="F35" s="514" t="n">
        <f aca="false">F34/F33</f>
        <v>0.344959824689554</v>
      </c>
      <c r="G35" s="514" t="n">
        <f aca="false">G34/G33</f>
        <v>0.355368882395909</v>
      </c>
      <c r="H35" s="514" t="n">
        <f aca="false">H34/H33</f>
        <v>0.370708546384222</v>
      </c>
      <c r="I35" s="514" t="n">
        <f aca="false">I34/I33</f>
        <v>0.48009495982469</v>
      </c>
      <c r="J35" s="514" t="n">
        <f aca="false">J34/J33</f>
        <v>0.249407042510491</v>
      </c>
      <c r="K35" s="514" t="n">
        <f aca="false">K34/K33</f>
        <v>0.461212456237332</v>
      </c>
      <c r="L35" s="514" t="n">
        <f aca="false">L34/L33</f>
        <v>0.810761009765985</v>
      </c>
      <c r="M35" s="514" t="n">
        <f aca="false">M34/M33</f>
        <v>0.935226264418811</v>
      </c>
      <c r="N35" s="515" t="n">
        <f aca="false">N34/N33</f>
        <v>0.472729789590255</v>
      </c>
      <c r="O35" s="516"/>
    </row>
    <row r="36" customFormat="false" ht="12.75" hidden="false" customHeight="true" outlineLevel="0" collapsed="false">
      <c r="N36" s="337"/>
      <c r="O36" s="333"/>
    </row>
    <row r="37" customFormat="false" ht="12.75" hidden="false" customHeight="true" outlineLevel="0" collapsed="false">
      <c r="A37" s="294" t="n">
        <v>1998</v>
      </c>
      <c r="B37" s="501" t="s">
        <v>471</v>
      </c>
      <c r="C37" s="328" t="n">
        <v>550.2</v>
      </c>
      <c r="D37" s="329" t="n">
        <v>568.7</v>
      </c>
      <c r="E37" s="329" t="n">
        <v>617.1</v>
      </c>
      <c r="F37" s="329" t="n">
        <v>558</v>
      </c>
      <c r="G37" s="329" t="n">
        <v>555.5</v>
      </c>
      <c r="H37" s="329" t="n">
        <v>554</v>
      </c>
      <c r="I37" s="329" t="n">
        <v>545.7</v>
      </c>
      <c r="J37" s="329" t="n">
        <v>565.5</v>
      </c>
      <c r="K37" s="329" t="n">
        <v>529.5</v>
      </c>
      <c r="L37" s="329" t="n">
        <v>544.8</v>
      </c>
      <c r="M37" s="329" t="n">
        <v>593.7</v>
      </c>
      <c r="N37" s="331" t="n">
        <v>581.3</v>
      </c>
      <c r="O37" s="513"/>
    </row>
    <row r="38" customFormat="false" ht="12.75" hidden="false" customHeight="true" outlineLevel="0" collapsed="false">
      <c r="B38" s="294" t="s">
        <v>472</v>
      </c>
      <c r="C38" s="332" t="n">
        <v>382.6</v>
      </c>
      <c r="D38" s="333" t="n">
        <v>337.5</v>
      </c>
      <c r="E38" s="333" t="n">
        <v>404.6</v>
      </c>
      <c r="F38" s="333" t="n">
        <v>390.7</v>
      </c>
      <c r="G38" s="333" t="n">
        <v>333.7</v>
      </c>
      <c r="H38" s="333" t="n">
        <v>185.2</v>
      </c>
      <c r="I38" s="333" t="n">
        <v>258.5</v>
      </c>
      <c r="J38" s="333" t="n">
        <v>360.6</v>
      </c>
      <c r="K38" s="333" t="n">
        <v>326.1</v>
      </c>
      <c r="L38" s="333" t="n">
        <v>330.2</v>
      </c>
      <c r="M38" s="333" t="n">
        <v>413.4</v>
      </c>
      <c r="N38" s="337" t="n">
        <v>396.9</v>
      </c>
      <c r="O38" s="513"/>
    </row>
    <row r="39" customFormat="false" ht="12.75" hidden="false" customHeight="true" outlineLevel="0" collapsed="false">
      <c r="B39" s="294" t="s">
        <v>118</v>
      </c>
      <c r="C39" s="508" t="n">
        <f aca="false">C38/C37</f>
        <v>0.695383496910215</v>
      </c>
      <c r="D39" s="514" t="n">
        <f aca="false">D38/D37</f>
        <v>0.593458765605768</v>
      </c>
      <c r="E39" s="514" t="n">
        <f aca="false">E38/E37</f>
        <v>0.65564738292011</v>
      </c>
      <c r="F39" s="514" t="n">
        <f aca="false">F38/F37</f>
        <v>0.700179211469534</v>
      </c>
      <c r="G39" s="514" t="n">
        <f aca="false">G38/G37</f>
        <v>0.600720072007201</v>
      </c>
      <c r="H39" s="514" t="n">
        <f aca="false">H38/H37</f>
        <v>0.334296028880866</v>
      </c>
      <c r="I39" s="514" t="n">
        <f aca="false">I38/I37</f>
        <v>0.473703500091625</v>
      </c>
      <c r="J39" s="514" t="n">
        <f aca="false">J38/J37</f>
        <v>0.637665782493369</v>
      </c>
      <c r="K39" s="514" t="n">
        <f aca="false">K38/K37</f>
        <v>0.61586402266289</v>
      </c>
      <c r="L39" s="514" t="n">
        <f aca="false">L38/L37</f>
        <v>0.606093979441997</v>
      </c>
      <c r="M39" s="514" t="n">
        <f aca="false">M38/M37</f>
        <v>0.696311268317332</v>
      </c>
      <c r="N39" s="515" t="n">
        <f aca="false">N38/N37</f>
        <v>0.68277997591605</v>
      </c>
      <c r="O39" s="516"/>
    </row>
    <row r="40" customFormat="false" ht="12.75" hidden="false" customHeight="true" outlineLevel="0" collapsed="false"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7"/>
      <c r="O40" s="516"/>
    </row>
    <row r="41" customFormat="false" ht="12.75" hidden="false" customHeight="true" outlineLevel="0" collapsed="false">
      <c r="A41" s="294" t="n">
        <v>1997</v>
      </c>
      <c r="B41" s="501" t="s">
        <v>471</v>
      </c>
      <c r="C41" s="518" t="n">
        <v>316</v>
      </c>
      <c r="D41" s="519" t="n">
        <v>316</v>
      </c>
      <c r="E41" s="519" t="n">
        <v>343.2</v>
      </c>
      <c r="F41" s="519" t="n">
        <v>346</v>
      </c>
      <c r="G41" s="519" t="n">
        <v>426.2</v>
      </c>
      <c r="H41" s="519" t="n">
        <v>393.2</v>
      </c>
      <c r="I41" s="519" t="n">
        <v>417.1</v>
      </c>
      <c r="J41" s="519" t="n">
        <v>433.9</v>
      </c>
      <c r="K41" s="519" t="n">
        <v>388.2</v>
      </c>
      <c r="L41" s="519" t="n">
        <v>358.5</v>
      </c>
      <c r="M41" s="519" t="n">
        <v>358.3</v>
      </c>
      <c r="N41" s="520" t="n">
        <v>347.2</v>
      </c>
      <c r="O41" s="513"/>
    </row>
    <row r="42" customFormat="false" ht="12.75" hidden="false" customHeight="true" outlineLevel="0" collapsed="false">
      <c r="B42" s="294" t="s">
        <v>472</v>
      </c>
      <c r="C42" s="521" t="n">
        <v>115.2</v>
      </c>
      <c r="D42" s="522" t="n">
        <v>24</v>
      </c>
      <c r="E42" s="522" t="n">
        <v>29.9</v>
      </c>
      <c r="F42" s="522" t="n">
        <v>96.7</v>
      </c>
      <c r="G42" s="522" t="n">
        <v>190.5</v>
      </c>
      <c r="H42" s="522" t="n">
        <v>107.7</v>
      </c>
      <c r="I42" s="522" t="n">
        <v>204.1</v>
      </c>
      <c r="J42" s="522" t="n">
        <v>209.5</v>
      </c>
      <c r="K42" s="522" t="n">
        <v>160.8</v>
      </c>
      <c r="L42" s="522" t="n">
        <v>53.6</v>
      </c>
      <c r="M42" s="522" t="n">
        <v>67</v>
      </c>
      <c r="N42" s="523" t="n">
        <v>104.1</v>
      </c>
      <c r="O42" s="513"/>
    </row>
    <row r="43" customFormat="false" ht="12.75" hidden="false" customHeight="true" outlineLevel="0" collapsed="false">
      <c r="B43" s="294" t="s">
        <v>118</v>
      </c>
      <c r="C43" s="508" t="n">
        <f aca="false">C42/C41</f>
        <v>0.364556962025316</v>
      </c>
      <c r="D43" s="514" t="n">
        <f aca="false">D42/D41</f>
        <v>0.0759493670886076</v>
      </c>
      <c r="E43" s="514" t="n">
        <f aca="false">E42/E41</f>
        <v>0.0871212121212121</v>
      </c>
      <c r="F43" s="514" t="n">
        <f aca="false">F42/F41</f>
        <v>0.279479768786127</v>
      </c>
      <c r="G43" s="514" t="n">
        <f aca="false">G42/G41</f>
        <v>0.446973251994369</v>
      </c>
      <c r="H43" s="514" t="n">
        <f aca="false">H42/H41</f>
        <v>0.273906408952187</v>
      </c>
      <c r="I43" s="514" t="n">
        <f aca="false">I42/I41</f>
        <v>0.489331095660513</v>
      </c>
      <c r="J43" s="514" t="n">
        <f aca="false">J42/J41</f>
        <v>0.482830145194745</v>
      </c>
      <c r="K43" s="514" t="n">
        <f aca="false">K42/K41</f>
        <v>0.414219474497682</v>
      </c>
      <c r="L43" s="514" t="n">
        <f aca="false">L42/L41</f>
        <v>0.149511854951186</v>
      </c>
      <c r="M43" s="514" t="n">
        <f aca="false">M42/M41</f>
        <v>0.186994138989673</v>
      </c>
      <c r="N43" s="515" t="n">
        <f aca="false">N42/N41</f>
        <v>0.299827188940092</v>
      </c>
      <c r="O43" s="516"/>
    </row>
    <row r="44" customFormat="false" ht="12.75" hidden="false" customHeight="true" outlineLevel="0" collapsed="false">
      <c r="O44" s="333"/>
    </row>
    <row r="45" customFormat="false" ht="12.75" hidden="false" customHeight="true" outlineLevel="0" collapsed="false">
      <c r="A45" s="496"/>
      <c r="B45" s="497" t="s">
        <v>27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524"/>
      <c r="P45" s="496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6"/>
      <c r="AB45" s="496"/>
      <c r="AC45" s="496"/>
      <c r="AD45" s="496"/>
      <c r="AE45" s="496"/>
      <c r="AF45" s="496"/>
      <c r="AG45" s="496"/>
      <c r="AH45" s="496"/>
      <c r="AI45" s="496"/>
      <c r="AJ45" s="496"/>
      <c r="AK45" s="496"/>
      <c r="AL45" s="496"/>
      <c r="AM45" s="496"/>
      <c r="AN45" s="496"/>
      <c r="AO45" s="496"/>
      <c r="AP45" s="496"/>
      <c r="AQ45" s="496"/>
      <c r="AR45" s="496"/>
      <c r="AS45" s="496"/>
      <c r="AT45" s="496"/>
      <c r="AU45" s="496"/>
      <c r="AV45" s="496"/>
      <c r="AW45" s="496"/>
      <c r="AX45" s="496"/>
      <c r="AY45" s="496"/>
      <c r="AZ45" s="496"/>
      <c r="BA45" s="496"/>
      <c r="BB45" s="496"/>
      <c r="BC45" s="496"/>
      <c r="BD45" s="496"/>
      <c r="BE45" s="496"/>
      <c r="BF45" s="496"/>
      <c r="BG45" s="496"/>
      <c r="BH45" s="496"/>
      <c r="BI45" s="496"/>
      <c r="BJ45" s="496"/>
      <c r="BK45" s="496"/>
      <c r="BL45" s="496"/>
      <c r="BM45" s="496"/>
      <c r="BN45" s="496"/>
      <c r="BO45" s="496"/>
      <c r="BP45" s="496"/>
      <c r="BQ45" s="496"/>
      <c r="BR45" s="496"/>
      <c r="BS45" s="496"/>
      <c r="BT45" s="496"/>
      <c r="BU45" s="496"/>
      <c r="BV45" s="496"/>
      <c r="BW45" s="496"/>
      <c r="BX45" s="496"/>
      <c r="BY45" s="496"/>
      <c r="BZ45" s="496"/>
      <c r="CA45" s="496"/>
      <c r="CB45" s="496"/>
      <c r="CC45" s="496"/>
      <c r="CD45" s="496"/>
      <c r="CE45" s="496"/>
      <c r="CF45" s="496"/>
      <c r="CG45" s="496"/>
      <c r="CH45" s="496"/>
      <c r="CI45" s="496"/>
      <c r="CJ45" s="496"/>
      <c r="CK45" s="496"/>
      <c r="CL45" s="496"/>
      <c r="CM45" s="496"/>
      <c r="CN45" s="496"/>
      <c r="CO45" s="496"/>
      <c r="CP45" s="496"/>
      <c r="CQ45" s="496"/>
      <c r="CR45" s="496"/>
      <c r="CS45" s="496"/>
      <c r="CT45" s="496"/>
      <c r="CU45" s="496"/>
      <c r="CV45" s="496"/>
      <c r="CW45" s="496"/>
      <c r="CX45" s="496"/>
      <c r="CY45" s="496"/>
      <c r="CZ45" s="496"/>
      <c r="DA45" s="496"/>
      <c r="DB45" s="496"/>
      <c r="DC45" s="496"/>
      <c r="DD45" s="496"/>
      <c r="DE45" s="496"/>
      <c r="DF45" s="496"/>
      <c r="DG45" s="496"/>
      <c r="DH45" s="496"/>
      <c r="DI45" s="496"/>
      <c r="DJ45" s="496"/>
      <c r="DK45" s="496"/>
      <c r="DL45" s="496"/>
      <c r="DM45" s="496"/>
      <c r="DN45" s="496"/>
      <c r="DO45" s="496"/>
      <c r="DP45" s="496"/>
      <c r="DQ45" s="496"/>
      <c r="DR45" s="496"/>
      <c r="DS45" s="496"/>
      <c r="DT45" s="496"/>
      <c r="DU45" s="496"/>
      <c r="DV45" s="496"/>
      <c r="DW45" s="496"/>
      <c r="DX45" s="496"/>
      <c r="DY45" s="496"/>
      <c r="DZ45" s="496"/>
      <c r="EA45" s="496"/>
      <c r="EB45" s="496"/>
      <c r="EC45" s="496"/>
      <c r="ED45" s="496"/>
      <c r="EE45" s="496"/>
      <c r="EF45" s="496"/>
      <c r="EG45" s="496"/>
      <c r="EH45" s="496"/>
      <c r="EI45" s="496"/>
      <c r="EJ45" s="496"/>
      <c r="EK45" s="496"/>
      <c r="EL45" s="496"/>
      <c r="EM45" s="496"/>
      <c r="EN45" s="496"/>
      <c r="EO45" s="496"/>
      <c r="EP45" s="496"/>
      <c r="EQ45" s="496"/>
      <c r="ER45" s="496"/>
      <c r="ES45" s="496"/>
      <c r="ET45" s="496"/>
      <c r="EU45" s="496"/>
      <c r="EV45" s="496"/>
      <c r="EW45" s="496"/>
      <c r="EX45" s="496"/>
      <c r="EY45" s="496"/>
      <c r="EZ45" s="496"/>
      <c r="FA45" s="496"/>
      <c r="FB45" s="496"/>
      <c r="FC45" s="496"/>
      <c r="FD45" s="496"/>
      <c r="FE45" s="496"/>
      <c r="FF45" s="496"/>
      <c r="FG45" s="496"/>
      <c r="FH45" s="496"/>
      <c r="FI45" s="496"/>
      <c r="FJ45" s="496"/>
      <c r="FK45" s="496"/>
      <c r="FL45" s="496"/>
      <c r="FM45" s="496"/>
      <c r="FN45" s="496"/>
      <c r="FO45" s="496"/>
      <c r="FP45" s="496"/>
      <c r="FQ45" s="496"/>
      <c r="FR45" s="496"/>
      <c r="FS45" s="496"/>
      <c r="FT45" s="496"/>
      <c r="FU45" s="496"/>
      <c r="FV45" s="496"/>
      <c r="FW45" s="496"/>
      <c r="FX45" s="496"/>
      <c r="FY45" s="496"/>
      <c r="FZ45" s="496"/>
      <c r="GA45" s="496"/>
      <c r="GB45" s="496"/>
      <c r="GC45" s="496"/>
      <c r="GD45" s="496"/>
      <c r="GE45" s="496"/>
      <c r="GF45" s="496"/>
      <c r="GG45" s="496"/>
      <c r="GH45" s="496"/>
      <c r="GI45" s="496"/>
      <c r="GJ45" s="496"/>
      <c r="GK45" s="496"/>
      <c r="GL45" s="496"/>
      <c r="GM45" s="496"/>
      <c r="GN45" s="496"/>
      <c r="GO45" s="496"/>
      <c r="GP45" s="496"/>
      <c r="GQ45" s="496"/>
      <c r="GR45" s="496"/>
      <c r="GS45" s="496"/>
      <c r="GT45" s="496"/>
      <c r="GU45" s="496"/>
      <c r="GV45" s="496"/>
      <c r="GW45" s="496"/>
      <c r="GX45" s="496"/>
      <c r="GY45" s="496"/>
      <c r="GZ45" s="496"/>
      <c r="HA45" s="496"/>
      <c r="HB45" s="496"/>
      <c r="HC45" s="496"/>
      <c r="HD45" s="496"/>
      <c r="HE45" s="496"/>
      <c r="HF45" s="496"/>
      <c r="HG45" s="496"/>
      <c r="HH45" s="496"/>
      <c r="HI45" s="496"/>
      <c r="HJ45" s="496"/>
      <c r="HK45" s="496"/>
      <c r="HL45" s="496"/>
      <c r="HM45" s="496"/>
      <c r="HN45" s="496"/>
      <c r="HO45" s="496"/>
      <c r="HP45" s="496"/>
      <c r="HQ45" s="496"/>
      <c r="HR45" s="496"/>
      <c r="HS45" s="496"/>
      <c r="HT45" s="496"/>
      <c r="HU45" s="496"/>
      <c r="HV45" s="496"/>
      <c r="HW45" s="496"/>
      <c r="HX45" s="496"/>
      <c r="HY45" s="496"/>
      <c r="HZ45" s="496"/>
      <c r="IA45" s="496"/>
      <c r="IB45" s="496"/>
      <c r="IC45" s="496"/>
      <c r="ID45" s="496"/>
      <c r="IE45" s="496"/>
      <c r="IF45" s="496"/>
      <c r="IG45" s="496"/>
      <c r="IH45" s="496"/>
      <c r="II45" s="496"/>
      <c r="IJ45" s="496"/>
      <c r="IK45" s="496"/>
      <c r="IL45" s="496"/>
      <c r="IM45" s="496"/>
      <c r="IN45" s="496"/>
      <c r="IO45" s="496"/>
      <c r="IP45" s="496"/>
      <c r="IQ45" s="496"/>
      <c r="IR45" s="496"/>
      <c r="IS45" s="496"/>
      <c r="IT45" s="496"/>
      <c r="IU45" s="496"/>
      <c r="IV45" s="496"/>
      <c r="IW45" s="496"/>
    </row>
    <row r="46" customFormat="false" ht="12.75" hidden="false" customHeight="true" outlineLevel="0" collapsed="false">
      <c r="B46" s="499" t="s">
        <v>470</v>
      </c>
      <c r="C46" s="500" t="n">
        <f aca="false">C49</f>
        <v>0.976666666666667</v>
      </c>
      <c r="D46" s="500" t="n">
        <f aca="false">D49</f>
        <v>1</v>
      </c>
      <c r="E46" s="500" t="n">
        <f aca="false">E49</f>
        <v>0.998333333333333</v>
      </c>
      <c r="F46" s="500" t="n">
        <f aca="false">F49</f>
        <v>0.854466666666667</v>
      </c>
      <c r="G46" s="500" t="n">
        <f aca="false">G49</f>
        <v>0.991666666666667</v>
      </c>
      <c r="H46" s="500" t="n">
        <f aca="false">(H57+H53)/2</f>
        <v>0.933333333333333</v>
      </c>
      <c r="I46" s="500" t="n">
        <f aca="false">(I57+I53)/2</f>
        <v>0.875833333333333</v>
      </c>
      <c r="J46" s="500" t="n">
        <f aca="false">J53</f>
        <v>0.941666666666667</v>
      </c>
      <c r="K46" s="500" t="n">
        <f aca="false">(K57+K53)/2</f>
        <v>0.97</v>
      </c>
      <c r="L46" s="500" t="n">
        <f aca="false">K46</f>
        <v>0.97</v>
      </c>
      <c r="M46" s="500" t="n">
        <f aca="false">L46</f>
        <v>0.97</v>
      </c>
      <c r="N46" s="500" t="n">
        <f aca="false">M46</f>
        <v>0.97</v>
      </c>
    </row>
    <row r="47" customFormat="false" ht="12.75" hidden="false" customHeight="true" outlineLevel="0" collapsed="false">
      <c r="A47" s="294" t="n">
        <v>2000</v>
      </c>
      <c r="B47" s="501" t="s">
        <v>471</v>
      </c>
      <c r="C47" s="502" t="n">
        <v>60</v>
      </c>
      <c r="D47" s="503" t="n">
        <v>60</v>
      </c>
      <c r="E47" s="503" t="n">
        <v>60</v>
      </c>
      <c r="F47" s="503" t="n">
        <v>60</v>
      </c>
      <c r="G47" s="503" t="n">
        <v>60</v>
      </c>
      <c r="H47" s="503"/>
      <c r="I47" s="503"/>
      <c r="J47" s="503"/>
      <c r="K47" s="503"/>
      <c r="L47" s="503"/>
      <c r="M47" s="503"/>
      <c r="N47" s="504"/>
      <c r="O47" s="333"/>
    </row>
    <row r="48" customFormat="false" ht="12.75" hidden="false" customHeight="true" outlineLevel="0" collapsed="false">
      <c r="B48" s="294" t="s">
        <v>472</v>
      </c>
      <c r="C48" s="505" t="n">
        <v>58.6</v>
      </c>
      <c r="D48" s="506" t="n">
        <v>60</v>
      </c>
      <c r="E48" s="506" t="n">
        <v>59.9</v>
      </c>
      <c r="F48" s="506" t="n">
        <v>51.268</v>
      </c>
      <c r="G48" s="506" t="n">
        <v>59.5</v>
      </c>
      <c r="H48" s="506"/>
      <c r="I48" s="506"/>
      <c r="J48" s="506"/>
      <c r="K48" s="506"/>
      <c r="L48" s="506"/>
      <c r="M48" s="506"/>
      <c r="N48" s="507"/>
      <c r="O48" s="333"/>
    </row>
    <row r="49" customFormat="false" ht="12.75" hidden="false" customHeight="true" outlineLevel="0" collapsed="false">
      <c r="B49" s="294" t="s">
        <v>118</v>
      </c>
      <c r="C49" s="508" t="n">
        <f aca="false">C48/C47</f>
        <v>0.976666666666667</v>
      </c>
      <c r="D49" s="514" t="n">
        <f aca="false">D48/D47</f>
        <v>1</v>
      </c>
      <c r="E49" s="514" t="n">
        <f aca="false">E48/E47</f>
        <v>0.998333333333333</v>
      </c>
      <c r="F49" s="514" t="n">
        <f aca="false">F48/F47</f>
        <v>0.854466666666667</v>
      </c>
      <c r="G49" s="514" t="n">
        <f aca="false">G48/G47</f>
        <v>0.991666666666667</v>
      </c>
      <c r="H49" s="514" t="e">
        <f aca="false">H48/H47</f>
        <v>#DIV/0!</v>
      </c>
      <c r="I49" s="514" t="e">
        <f aca="false">I48/I47</f>
        <v>#DIV/0!</v>
      </c>
      <c r="J49" s="514" t="e">
        <f aca="false">J48/J47</f>
        <v>#DIV/0!</v>
      </c>
      <c r="K49" s="514" t="e">
        <f aca="false">K48/K47</f>
        <v>#DIV/0!</v>
      </c>
      <c r="L49" s="514" t="e">
        <f aca="false">L48/L47</f>
        <v>#DIV/0!</v>
      </c>
      <c r="M49" s="514" t="e">
        <f aca="false">M48/M47</f>
        <v>#DIV/0!</v>
      </c>
      <c r="N49" s="515" t="e">
        <f aca="false">N48/N47</f>
        <v>#DIV/0!</v>
      </c>
      <c r="O49" s="333"/>
    </row>
    <row r="50" customFormat="false" ht="12.75" hidden="false" customHeight="true" outlineLevel="0" collapsed="false">
      <c r="B50" s="499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333"/>
    </row>
    <row r="51" customFormat="false" ht="12.75" hidden="false" customHeight="true" outlineLevel="0" collapsed="false">
      <c r="A51" s="98" t="n">
        <v>1999</v>
      </c>
      <c r="B51" s="501" t="s">
        <v>471</v>
      </c>
      <c r="C51" s="509" t="n">
        <v>48</v>
      </c>
      <c r="D51" s="510" t="n">
        <v>48</v>
      </c>
      <c r="E51" s="510" t="n">
        <v>119.7</v>
      </c>
      <c r="F51" s="510" t="n">
        <v>60</v>
      </c>
      <c r="G51" s="510" t="n">
        <v>0</v>
      </c>
      <c r="H51" s="510" t="n">
        <v>60</v>
      </c>
      <c r="I51" s="510" t="n">
        <v>60</v>
      </c>
      <c r="J51" s="510" t="n">
        <v>60</v>
      </c>
      <c r="K51" s="510" t="n">
        <v>60</v>
      </c>
      <c r="L51" s="510" t="n">
        <v>62</v>
      </c>
      <c r="M51" s="510" t="n">
        <v>62</v>
      </c>
      <c r="N51" s="511" t="n">
        <v>60</v>
      </c>
      <c r="O51" s="513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</row>
    <row r="52" customFormat="false" ht="12.75" hidden="false" customHeight="true" outlineLevel="0" collapsed="false">
      <c r="B52" s="294" t="s">
        <v>472</v>
      </c>
      <c r="C52" s="332" t="n">
        <v>18</v>
      </c>
      <c r="D52" s="333" t="n">
        <v>18.1</v>
      </c>
      <c r="E52" s="333" t="n">
        <v>59.7</v>
      </c>
      <c r="F52" s="333" t="n">
        <v>58</v>
      </c>
      <c r="G52" s="333" t="n">
        <v>1.9</v>
      </c>
      <c r="H52" s="333" t="n">
        <v>55.2</v>
      </c>
      <c r="I52" s="333" t="n">
        <v>51.9</v>
      </c>
      <c r="J52" s="333" t="n">
        <v>56.5</v>
      </c>
      <c r="K52" s="333" t="n">
        <v>60.2</v>
      </c>
      <c r="L52" s="333" t="n">
        <v>0</v>
      </c>
      <c r="M52" s="333" t="n">
        <v>0</v>
      </c>
      <c r="N52" s="337" t="n">
        <v>60</v>
      </c>
      <c r="O52" s="513"/>
    </row>
    <row r="53" customFormat="false" ht="12.75" hidden="false" customHeight="true" outlineLevel="0" collapsed="false">
      <c r="B53" s="294" t="s">
        <v>118</v>
      </c>
      <c r="C53" s="508" t="n">
        <f aca="false">C52/C51</f>
        <v>0.375</v>
      </c>
      <c r="D53" s="514" t="n">
        <f aca="false">D52/D51</f>
        <v>0.377083333333333</v>
      </c>
      <c r="E53" s="514" t="n">
        <f aca="false">E52/E51</f>
        <v>0.49874686716792</v>
      </c>
      <c r="F53" s="514" t="n">
        <f aca="false">F52/F51</f>
        <v>0.966666666666667</v>
      </c>
      <c r="G53" s="514" t="e">
        <f aca="false">G52/G51</f>
        <v>#DIV/0!</v>
      </c>
      <c r="H53" s="514" t="n">
        <f aca="false">H52/H51</f>
        <v>0.92</v>
      </c>
      <c r="I53" s="514" t="n">
        <f aca="false">I52/I51</f>
        <v>0.865</v>
      </c>
      <c r="J53" s="514" t="n">
        <f aca="false">J52/J51</f>
        <v>0.941666666666667</v>
      </c>
      <c r="K53" s="514" t="n">
        <f aca="false">K52/K51</f>
        <v>1.00333333333333</v>
      </c>
      <c r="L53" s="514" t="n">
        <f aca="false">L52/L51</f>
        <v>0</v>
      </c>
      <c r="M53" s="514" t="n">
        <f aca="false">M52/M51</f>
        <v>0</v>
      </c>
      <c r="N53" s="515" t="n">
        <f aca="false">N52/N51</f>
        <v>1</v>
      </c>
      <c r="O53" s="516"/>
    </row>
    <row r="54" customFormat="false" ht="12.75" hidden="false" customHeight="true" outlineLevel="0" collapsed="false">
      <c r="N54" s="337"/>
      <c r="O54" s="333"/>
    </row>
    <row r="55" customFormat="false" ht="12.75" hidden="false" customHeight="true" outlineLevel="0" collapsed="false">
      <c r="A55" s="294" t="n">
        <v>1998</v>
      </c>
      <c r="B55" s="501" t="s">
        <v>471</v>
      </c>
      <c r="C55" s="328" t="n">
        <v>1.9</v>
      </c>
      <c r="D55" s="329" t="n">
        <v>5.9</v>
      </c>
      <c r="E55" s="329" t="n">
        <v>13.5</v>
      </c>
      <c r="F55" s="329" t="n">
        <v>0</v>
      </c>
      <c r="G55" s="329" t="n">
        <v>8.4</v>
      </c>
      <c r="H55" s="329" t="n">
        <v>60</v>
      </c>
      <c r="I55" s="329" t="n">
        <v>60</v>
      </c>
      <c r="J55" s="329" t="n">
        <v>2.4</v>
      </c>
      <c r="K55" s="329" t="n">
        <v>60</v>
      </c>
      <c r="L55" s="329" t="n">
        <v>90</v>
      </c>
      <c r="M55" s="329" t="n">
        <v>46.4</v>
      </c>
      <c r="N55" s="331" t="n">
        <v>48</v>
      </c>
      <c r="O55" s="513"/>
    </row>
    <row r="56" customFormat="false" ht="12.75" hidden="false" customHeight="true" outlineLevel="0" collapsed="false">
      <c r="B56" s="294" t="s">
        <v>472</v>
      </c>
      <c r="C56" s="332" t="n">
        <v>7.5</v>
      </c>
      <c r="D56" s="333" t="n">
        <v>10.3</v>
      </c>
      <c r="E56" s="333" t="n">
        <v>15.4</v>
      </c>
      <c r="F56" s="333" t="n">
        <v>0</v>
      </c>
      <c r="G56" s="333" t="n">
        <v>8.1</v>
      </c>
      <c r="H56" s="333" t="n">
        <v>56.8</v>
      </c>
      <c r="I56" s="333" t="n">
        <v>53.2</v>
      </c>
      <c r="J56" s="333" t="n">
        <v>66.1</v>
      </c>
      <c r="K56" s="333" t="n">
        <v>56.2</v>
      </c>
      <c r="L56" s="333" t="n">
        <v>55.2</v>
      </c>
      <c r="M56" s="333" t="n">
        <v>16.6</v>
      </c>
      <c r="N56" s="337" t="n">
        <v>18</v>
      </c>
      <c r="O56" s="513"/>
    </row>
    <row r="57" customFormat="false" ht="12.75" hidden="false" customHeight="true" outlineLevel="0" collapsed="false">
      <c r="B57" s="294" t="s">
        <v>118</v>
      </c>
      <c r="C57" s="508" t="n">
        <f aca="false">C56/C55</f>
        <v>3.94736842105263</v>
      </c>
      <c r="D57" s="514" t="n">
        <f aca="false">D56/D55</f>
        <v>1.74576271186441</v>
      </c>
      <c r="E57" s="514" t="n">
        <f aca="false">E56/E55</f>
        <v>1.14074074074074</v>
      </c>
      <c r="F57" s="514" t="e">
        <f aca="false">F56/F55</f>
        <v>#DIV/0!</v>
      </c>
      <c r="G57" s="514" t="n">
        <f aca="false">G56/G55</f>
        <v>0.964285714285714</v>
      </c>
      <c r="H57" s="514" t="n">
        <f aca="false">H56/H55</f>
        <v>0.946666666666667</v>
      </c>
      <c r="I57" s="514" t="n">
        <f aca="false">I56/I55</f>
        <v>0.886666666666667</v>
      </c>
      <c r="J57" s="514" t="n">
        <f aca="false">J56/J55</f>
        <v>27.5416666666667</v>
      </c>
      <c r="K57" s="514" t="n">
        <f aca="false">K56/K55</f>
        <v>0.936666666666667</v>
      </c>
      <c r="L57" s="514" t="n">
        <f aca="false">L56/L55</f>
        <v>0.613333333333333</v>
      </c>
      <c r="M57" s="515" t="n">
        <f aca="false">M56/M55</f>
        <v>0.357758620689655</v>
      </c>
      <c r="N57" s="525" t="n">
        <f aca="false">N56/N55</f>
        <v>0.375</v>
      </c>
      <c r="O57" s="516"/>
    </row>
    <row r="58" customFormat="false" ht="12.75" hidden="false" customHeight="true" outlineLevel="0" collapsed="false">
      <c r="O58" s="333"/>
    </row>
    <row r="59" customFormat="false" ht="12.75" hidden="false" customHeight="true" outlineLevel="0" collapsed="false">
      <c r="O59" s="333"/>
    </row>
    <row r="60" customFormat="false" ht="12.75" hidden="false" customHeight="true" outlineLevel="0" collapsed="false">
      <c r="A60" s="496"/>
      <c r="B60" s="497" t="s">
        <v>115</v>
      </c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524"/>
      <c r="P60" s="496"/>
      <c r="Q60" s="496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  <c r="AD60" s="496"/>
      <c r="AE60" s="496"/>
      <c r="AF60" s="496"/>
      <c r="AG60" s="496"/>
      <c r="AH60" s="496"/>
      <c r="AI60" s="496"/>
      <c r="AJ60" s="496"/>
      <c r="AK60" s="496"/>
      <c r="AL60" s="496"/>
      <c r="AM60" s="496"/>
      <c r="AN60" s="496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  <c r="BA60" s="496"/>
      <c r="BB60" s="496"/>
      <c r="BC60" s="496"/>
      <c r="BD60" s="496"/>
      <c r="BE60" s="496"/>
      <c r="BF60" s="496"/>
      <c r="BG60" s="496"/>
      <c r="BH60" s="496"/>
      <c r="BI60" s="496"/>
      <c r="BJ60" s="496"/>
      <c r="BK60" s="496"/>
      <c r="BL60" s="496"/>
      <c r="BM60" s="496"/>
      <c r="BN60" s="496"/>
      <c r="BO60" s="496"/>
      <c r="BP60" s="496"/>
      <c r="BQ60" s="496"/>
      <c r="BR60" s="496"/>
      <c r="BS60" s="496"/>
      <c r="BT60" s="496"/>
      <c r="BU60" s="496"/>
      <c r="BV60" s="496"/>
      <c r="BW60" s="496"/>
      <c r="BX60" s="496"/>
      <c r="BY60" s="496"/>
      <c r="BZ60" s="496"/>
      <c r="CA60" s="496"/>
      <c r="CB60" s="496"/>
      <c r="CC60" s="496"/>
      <c r="CD60" s="496"/>
      <c r="CE60" s="496"/>
      <c r="CF60" s="496"/>
      <c r="CG60" s="496"/>
      <c r="CH60" s="496"/>
      <c r="CI60" s="496"/>
      <c r="CJ60" s="496"/>
      <c r="CK60" s="496"/>
      <c r="CL60" s="496"/>
      <c r="CM60" s="496"/>
      <c r="CN60" s="496"/>
      <c r="CO60" s="496"/>
      <c r="CP60" s="496"/>
      <c r="CQ60" s="496"/>
      <c r="CR60" s="496"/>
      <c r="CS60" s="496"/>
      <c r="CT60" s="496"/>
      <c r="CU60" s="496"/>
      <c r="CV60" s="496"/>
      <c r="CW60" s="496"/>
      <c r="CX60" s="496"/>
      <c r="CY60" s="496"/>
      <c r="CZ60" s="496"/>
      <c r="DA60" s="496"/>
      <c r="DB60" s="496"/>
      <c r="DC60" s="496"/>
      <c r="DD60" s="496"/>
      <c r="DE60" s="496"/>
      <c r="DF60" s="496"/>
      <c r="DG60" s="496"/>
      <c r="DH60" s="496"/>
      <c r="DI60" s="496"/>
      <c r="DJ60" s="496"/>
      <c r="DK60" s="496"/>
      <c r="DL60" s="496"/>
      <c r="DM60" s="496"/>
      <c r="DN60" s="496"/>
      <c r="DO60" s="496"/>
      <c r="DP60" s="496"/>
      <c r="DQ60" s="496"/>
      <c r="DR60" s="496"/>
      <c r="DS60" s="496"/>
      <c r="DT60" s="496"/>
      <c r="DU60" s="496"/>
      <c r="DV60" s="496"/>
      <c r="DW60" s="496"/>
      <c r="DX60" s="496"/>
      <c r="DY60" s="496"/>
      <c r="DZ60" s="496"/>
      <c r="EA60" s="496"/>
      <c r="EB60" s="496"/>
      <c r="EC60" s="496"/>
      <c r="ED60" s="496"/>
      <c r="EE60" s="496"/>
      <c r="EF60" s="496"/>
      <c r="EG60" s="496"/>
      <c r="EH60" s="496"/>
      <c r="EI60" s="496"/>
      <c r="EJ60" s="496"/>
      <c r="EK60" s="496"/>
      <c r="EL60" s="496"/>
      <c r="EM60" s="496"/>
      <c r="EN60" s="496"/>
      <c r="EO60" s="496"/>
      <c r="EP60" s="496"/>
      <c r="EQ60" s="496"/>
      <c r="ER60" s="496"/>
      <c r="ES60" s="496"/>
      <c r="ET60" s="496"/>
      <c r="EU60" s="496"/>
      <c r="EV60" s="496"/>
      <c r="EW60" s="496"/>
      <c r="EX60" s="496"/>
      <c r="EY60" s="496"/>
      <c r="EZ60" s="496"/>
      <c r="FA60" s="496"/>
      <c r="FB60" s="496"/>
      <c r="FC60" s="496"/>
      <c r="FD60" s="496"/>
      <c r="FE60" s="496"/>
      <c r="FF60" s="496"/>
      <c r="FG60" s="496"/>
      <c r="FH60" s="496"/>
      <c r="FI60" s="496"/>
      <c r="FJ60" s="496"/>
      <c r="FK60" s="496"/>
      <c r="FL60" s="496"/>
      <c r="FM60" s="496"/>
      <c r="FN60" s="496"/>
      <c r="FO60" s="496"/>
      <c r="FP60" s="496"/>
      <c r="FQ60" s="496"/>
      <c r="FR60" s="496"/>
      <c r="FS60" s="496"/>
      <c r="FT60" s="496"/>
      <c r="FU60" s="496"/>
      <c r="FV60" s="496"/>
      <c r="FW60" s="496"/>
      <c r="FX60" s="496"/>
      <c r="FY60" s="496"/>
      <c r="FZ60" s="496"/>
      <c r="GA60" s="496"/>
      <c r="GB60" s="496"/>
      <c r="GC60" s="496"/>
      <c r="GD60" s="496"/>
      <c r="GE60" s="496"/>
      <c r="GF60" s="496"/>
      <c r="GG60" s="496"/>
      <c r="GH60" s="496"/>
      <c r="GI60" s="496"/>
      <c r="GJ60" s="496"/>
      <c r="GK60" s="496"/>
      <c r="GL60" s="496"/>
      <c r="GM60" s="496"/>
      <c r="GN60" s="496"/>
      <c r="GO60" s="496"/>
      <c r="GP60" s="496"/>
      <c r="GQ60" s="496"/>
      <c r="GR60" s="496"/>
      <c r="GS60" s="496"/>
      <c r="GT60" s="496"/>
      <c r="GU60" s="496"/>
      <c r="GV60" s="496"/>
      <c r="GW60" s="496"/>
      <c r="GX60" s="496"/>
      <c r="GY60" s="496"/>
      <c r="GZ60" s="496"/>
      <c r="HA60" s="496"/>
      <c r="HB60" s="496"/>
      <c r="HC60" s="496"/>
      <c r="HD60" s="496"/>
      <c r="HE60" s="496"/>
      <c r="HF60" s="496"/>
      <c r="HG60" s="496"/>
      <c r="HH60" s="496"/>
      <c r="HI60" s="496"/>
      <c r="HJ60" s="496"/>
      <c r="HK60" s="496"/>
      <c r="HL60" s="496"/>
      <c r="HM60" s="496"/>
      <c r="HN60" s="496"/>
      <c r="HO60" s="496"/>
      <c r="HP60" s="496"/>
      <c r="HQ60" s="496"/>
      <c r="HR60" s="496"/>
      <c r="HS60" s="496"/>
      <c r="HT60" s="496"/>
      <c r="HU60" s="496"/>
      <c r="HV60" s="496"/>
      <c r="HW60" s="496"/>
      <c r="HX60" s="496"/>
      <c r="HY60" s="496"/>
      <c r="HZ60" s="496"/>
      <c r="IA60" s="496"/>
      <c r="IB60" s="496"/>
      <c r="IC60" s="496"/>
      <c r="ID60" s="496"/>
      <c r="IE60" s="496"/>
      <c r="IF60" s="496"/>
      <c r="IG60" s="496"/>
      <c r="IH60" s="496"/>
      <c r="II60" s="496"/>
      <c r="IJ60" s="496"/>
      <c r="IK60" s="496"/>
      <c r="IL60" s="496"/>
      <c r="IM60" s="496"/>
      <c r="IN60" s="496"/>
      <c r="IO60" s="496"/>
      <c r="IP60" s="496"/>
      <c r="IQ60" s="496"/>
      <c r="IR60" s="496"/>
      <c r="IS60" s="496"/>
      <c r="IT60" s="496"/>
      <c r="IU60" s="496"/>
      <c r="IV60" s="496"/>
      <c r="IW60" s="496"/>
    </row>
    <row r="61" customFormat="false" ht="12.75" hidden="false" customHeight="true" outlineLevel="0" collapsed="false">
      <c r="B61" s="499" t="s">
        <v>470</v>
      </c>
      <c r="C61" s="500" t="n">
        <f aca="false">(C64+C68+C72)/3</f>
        <v>1.25771648003192</v>
      </c>
      <c r="D61" s="500" t="n">
        <f aca="false">(D64+D68+D72)/3</f>
        <v>1.18287853838313</v>
      </c>
      <c r="E61" s="500" t="n">
        <f aca="false">(E64+E68+E72)/3</f>
        <v>2.31990032839966</v>
      </c>
      <c r="F61" s="500" t="n">
        <f aca="false">(F64+F68+F72)/3</f>
        <v>0.881840726618914</v>
      </c>
      <c r="G61" s="500" t="n">
        <f aca="false">(G64+G68+G72)/3</f>
        <v>0.964744045738215</v>
      </c>
      <c r="H61" s="500" t="n">
        <f aca="false">(H64+H68+H72)/3</f>
        <v>0.907021807672097</v>
      </c>
      <c r="I61" s="500" t="n">
        <f aca="false">(I64+I68+I72)/3</f>
        <v>0.878610440150295</v>
      </c>
      <c r="J61" s="500" t="n">
        <f aca="false">(J68+J72)/2</f>
        <v>0.704152306468717</v>
      </c>
      <c r="K61" s="500" t="n">
        <f aca="false">(K68+K72)/2</f>
        <v>0.930027173913044</v>
      </c>
      <c r="L61" s="500" t="n">
        <f aca="false">(L68+L72)/2</f>
        <v>1.2714150378939</v>
      </c>
      <c r="M61" s="500" t="n">
        <f aca="false">(M68+M72)/2</f>
        <v>1.28804347826087</v>
      </c>
      <c r="N61" s="500" t="n">
        <f aca="false">(N68+N72)/2</f>
        <v>1.21075593165439</v>
      </c>
    </row>
    <row r="62" customFormat="false" ht="12.75" hidden="false" customHeight="true" outlineLevel="0" collapsed="false">
      <c r="A62" s="98" t="n">
        <v>2000</v>
      </c>
      <c r="B62" s="501" t="s">
        <v>471</v>
      </c>
      <c r="C62" s="509" t="n">
        <v>93.6</v>
      </c>
      <c r="D62" s="510" t="n">
        <v>93.6</v>
      </c>
      <c r="E62" s="510" t="n">
        <v>128.6</v>
      </c>
      <c r="F62" s="510" t="n">
        <f aca="false">150.933</f>
        <v>150.933</v>
      </c>
      <c r="G62" s="510" t="n">
        <v>180.7</v>
      </c>
      <c r="H62" s="510" t="n">
        <v>190.3</v>
      </c>
      <c r="I62" s="510" t="n">
        <v>183.6</v>
      </c>
      <c r="J62" s="510"/>
      <c r="K62" s="510"/>
      <c r="L62" s="510"/>
      <c r="M62" s="510"/>
      <c r="N62" s="511"/>
      <c r="O62" s="513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</row>
    <row r="63" customFormat="false" ht="12.75" hidden="false" customHeight="true" outlineLevel="0" collapsed="false">
      <c r="B63" s="294" t="s">
        <v>472</v>
      </c>
      <c r="C63" s="332" t="n">
        <v>68.9</v>
      </c>
      <c r="D63" s="333" t="n">
        <v>69.6</v>
      </c>
      <c r="E63" s="333" t="n">
        <v>112.5</v>
      </c>
      <c r="F63" s="333" t="n">
        <f aca="false">118.585</f>
        <v>118.585</v>
      </c>
      <c r="G63" s="333" t="n">
        <v>177.3</v>
      </c>
      <c r="H63" s="333" t="n">
        <v>172.9</v>
      </c>
      <c r="I63" s="333" t="n">
        <v>163.387</v>
      </c>
      <c r="J63" s="333"/>
      <c r="K63" s="333"/>
      <c r="L63" s="333"/>
      <c r="M63" s="333"/>
      <c r="N63" s="337"/>
      <c r="O63" s="513"/>
    </row>
    <row r="64" customFormat="false" ht="12.75" hidden="false" customHeight="true" outlineLevel="0" collapsed="false">
      <c r="B64" s="294" t="s">
        <v>118</v>
      </c>
      <c r="C64" s="526" t="n">
        <f aca="false">C63/C62</f>
        <v>0.736111111111111</v>
      </c>
      <c r="D64" s="527" t="n">
        <f aca="false">D63/D62</f>
        <v>0.743589743589744</v>
      </c>
      <c r="E64" s="527" t="n">
        <f aca="false">E63/E62</f>
        <v>0.874805598755832</v>
      </c>
      <c r="F64" s="527" t="n">
        <f aca="false">F63/F62</f>
        <v>0.785679738692002</v>
      </c>
      <c r="G64" s="527" t="n">
        <f aca="false">G63/G62</f>
        <v>0.981184283342557</v>
      </c>
      <c r="H64" s="527" t="n">
        <f aca="false">H63/H62</f>
        <v>0.90856542301629</v>
      </c>
      <c r="I64" s="527" t="n">
        <f aca="false">I63/I62</f>
        <v>0.889907407407408</v>
      </c>
      <c r="J64" s="527" t="e">
        <f aca="false">J63/J62</f>
        <v>#DIV/0!</v>
      </c>
      <c r="K64" s="527" t="e">
        <f aca="false">K63/K62</f>
        <v>#DIV/0!</v>
      </c>
      <c r="L64" s="527" t="e">
        <f aca="false">L63/L62</f>
        <v>#DIV/0!</v>
      </c>
      <c r="M64" s="527" t="e">
        <f aca="false">M63/M62</f>
        <v>#DIV/0!</v>
      </c>
      <c r="N64" s="525" t="e">
        <f aca="false">N63/N62</f>
        <v>#DIV/0!</v>
      </c>
      <c r="O64" s="516"/>
    </row>
    <row r="65" customFormat="false" ht="12.75" hidden="false" customHeight="true" outlineLevel="0" collapsed="false">
      <c r="B65" s="499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333"/>
    </row>
    <row r="66" customFormat="false" ht="12.75" hidden="false" customHeight="true" outlineLevel="0" collapsed="false">
      <c r="A66" s="98" t="n">
        <v>1999</v>
      </c>
      <c r="B66" s="501" t="s">
        <v>471</v>
      </c>
      <c r="C66" s="509" t="n">
        <v>48.1</v>
      </c>
      <c r="D66" s="510" t="n">
        <v>43.6</v>
      </c>
      <c r="E66" s="510" t="n">
        <v>13.9</v>
      </c>
      <c r="F66" s="510" t="n">
        <v>73.6</v>
      </c>
      <c r="G66" s="510" t="n">
        <v>133.6</v>
      </c>
      <c r="H66" s="510" t="n">
        <v>73.6</v>
      </c>
      <c r="I66" s="510" t="n">
        <v>73.6</v>
      </c>
      <c r="J66" s="510" t="n">
        <v>73.6</v>
      </c>
      <c r="K66" s="510" t="n">
        <v>73.6</v>
      </c>
      <c r="L66" s="510" t="n">
        <v>73.6</v>
      </c>
      <c r="M66" s="510" t="n">
        <v>73.6</v>
      </c>
      <c r="N66" s="511" t="n">
        <v>93.2</v>
      </c>
      <c r="O66" s="513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  <c r="IV66" s="98"/>
      <c r="IW66" s="98"/>
    </row>
    <row r="67" customFormat="false" ht="12.75" hidden="false" customHeight="true" outlineLevel="0" collapsed="false">
      <c r="B67" s="294" t="s">
        <v>472</v>
      </c>
      <c r="C67" s="332" t="n">
        <v>74.9</v>
      </c>
      <c r="D67" s="333" t="n">
        <v>73</v>
      </c>
      <c r="E67" s="333" t="n">
        <v>73.9</v>
      </c>
      <c r="F67" s="333" t="n">
        <v>72.4</v>
      </c>
      <c r="G67" s="333" t="n">
        <v>129</v>
      </c>
      <c r="H67" s="333" t="n">
        <v>71.9</v>
      </c>
      <c r="I67" s="333" t="n">
        <v>65.6</v>
      </c>
      <c r="J67" s="333" t="n">
        <v>69.6</v>
      </c>
      <c r="K67" s="333" t="n">
        <v>64.2</v>
      </c>
      <c r="L67" s="333" t="n">
        <v>70</v>
      </c>
      <c r="M67" s="333" t="n">
        <v>70</v>
      </c>
      <c r="N67" s="337" t="n">
        <v>91.6</v>
      </c>
      <c r="O67" s="513"/>
    </row>
    <row r="68" customFormat="false" ht="12.75" hidden="false" customHeight="true" outlineLevel="0" collapsed="false">
      <c r="B68" s="294" t="s">
        <v>118</v>
      </c>
      <c r="C68" s="526" t="n">
        <f aca="false">C67/C66</f>
        <v>1.55717255717256</v>
      </c>
      <c r="D68" s="527" t="n">
        <f aca="false">D67/D66</f>
        <v>1.6743119266055</v>
      </c>
      <c r="E68" s="527" t="n">
        <f aca="false">E67/E66</f>
        <v>5.31654676258993</v>
      </c>
      <c r="F68" s="527" t="n">
        <f aca="false">F67/F66</f>
        <v>0.983695652173913</v>
      </c>
      <c r="G68" s="527" t="n">
        <f aca="false">G67/G66</f>
        <v>0.965568862275449</v>
      </c>
      <c r="H68" s="527" t="n">
        <f aca="false">H67/H66</f>
        <v>0.976902173913044</v>
      </c>
      <c r="I68" s="527" t="n">
        <f aca="false">I67/I66</f>
        <v>0.891304347826087</v>
      </c>
      <c r="J68" s="527" t="n">
        <f aca="false">J67/J66</f>
        <v>0.945652173913044</v>
      </c>
      <c r="K68" s="527" t="n">
        <f aca="false">K67/K66</f>
        <v>0.872282608695652</v>
      </c>
      <c r="L68" s="527" t="n">
        <f aca="false">L67/L66</f>
        <v>0.951086956521739</v>
      </c>
      <c r="M68" s="527" t="n">
        <f aca="false">M67/M66</f>
        <v>0.951086956521739</v>
      </c>
      <c r="N68" s="525" t="n">
        <f aca="false">N67/N66</f>
        <v>0.982832618025751</v>
      </c>
      <c r="O68" s="516"/>
    </row>
    <row r="69" customFormat="false" ht="12.75" hidden="false" customHeight="true" outlineLevel="0" collapsed="false">
      <c r="N69" s="337"/>
      <c r="O69" s="333"/>
    </row>
    <row r="70" customFormat="false" ht="12.75" hidden="false" customHeight="true" outlineLevel="0" collapsed="false">
      <c r="A70" s="294" t="n">
        <v>1998</v>
      </c>
      <c r="B70" s="501" t="s">
        <v>471</v>
      </c>
      <c r="C70" s="328" t="n">
        <v>29.8</v>
      </c>
      <c r="D70" s="329" t="n">
        <v>43.6</v>
      </c>
      <c r="E70" s="329" t="n">
        <v>43.6</v>
      </c>
      <c r="F70" s="329" t="n">
        <v>43.6</v>
      </c>
      <c r="G70" s="329" t="n">
        <v>47.6</v>
      </c>
      <c r="H70" s="329" t="n">
        <v>73.6</v>
      </c>
      <c r="I70" s="329" t="n">
        <v>73.6</v>
      </c>
      <c r="J70" s="329" t="n">
        <v>131.2</v>
      </c>
      <c r="K70" s="329" t="n">
        <v>73.6</v>
      </c>
      <c r="L70" s="329" t="n">
        <v>43.6</v>
      </c>
      <c r="M70" s="329" t="n">
        <v>44.8</v>
      </c>
      <c r="N70" s="331" t="n">
        <v>63.6</v>
      </c>
      <c r="O70" s="512"/>
    </row>
    <row r="71" customFormat="false" ht="12.75" hidden="false" customHeight="true" outlineLevel="0" collapsed="false">
      <c r="B71" s="294" t="s">
        <v>472</v>
      </c>
      <c r="C71" s="332" t="n">
        <v>44.1</v>
      </c>
      <c r="D71" s="333" t="n">
        <v>49.3</v>
      </c>
      <c r="E71" s="333" t="n">
        <v>33.5</v>
      </c>
      <c r="F71" s="333" t="n">
        <v>38.2</v>
      </c>
      <c r="G71" s="333" t="n">
        <v>45.1</v>
      </c>
      <c r="H71" s="333" t="n">
        <v>61.5</v>
      </c>
      <c r="I71" s="333" t="n">
        <v>62.9</v>
      </c>
      <c r="J71" s="333" t="n">
        <v>60.7</v>
      </c>
      <c r="K71" s="333" t="n">
        <v>72.7</v>
      </c>
      <c r="L71" s="333" t="n">
        <v>69.4</v>
      </c>
      <c r="M71" s="333" t="n">
        <v>72.8</v>
      </c>
      <c r="N71" s="337" t="n">
        <v>91.5</v>
      </c>
      <c r="O71" s="513"/>
    </row>
    <row r="72" customFormat="false" ht="12.75" hidden="false" customHeight="true" outlineLevel="0" collapsed="false">
      <c r="B72" s="294" t="s">
        <v>118</v>
      </c>
      <c r="C72" s="526" t="n">
        <f aca="false">C71/C70</f>
        <v>1.47986577181208</v>
      </c>
      <c r="D72" s="527" t="n">
        <f aca="false">D71/D70</f>
        <v>1.13073394495413</v>
      </c>
      <c r="E72" s="527" t="n">
        <f aca="false">E71/E70</f>
        <v>0.768348623853211</v>
      </c>
      <c r="F72" s="527" t="n">
        <f aca="false">F71/F70</f>
        <v>0.876146788990826</v>
      </c>
      <c r="G72" s="527" t="n">
        <f aca="false">G71/G70</f>
        <v>0.947478991596639</v>
      </c>
      <c r="H72" s="527" t="n">
        <f aca="false">H71/H70</f>
        <v>0.835597826086957</v>
      </c>
      <c r="I72" s="527" t="n">
        <f aca="false">I71/I70</f>
        <v>0.854619565217391</v>
      </c>
      <c r="J72" s="527" t="n">
        <f aca="false">J71/J70</f>
        <v>0.46265243902439</v>
      </c>
      <c r="K72" s="527" t="n">
        <f aca="false">K71/K70</f>
        <v>0.987771739130435</v>
      </c>
      <c r="L72" s="527" t="n">
        <f aca="false">L71/L70</f>
        <v>1.59174311926606</v>
      </c>
      <c r="M72" s="527" t="n">
        <f aca="false">M71/M70</f>
        <v>1.625</v>
      </c>
      <c r="N72" s="525" t="n">
        <f aca="false">N71/N70</f>
        <v>1.43867924528302</v>
      </c>
      <c r="O72" s="516"/>
    </row>
    <row r="73" customFormat="false" ht="12.75" hidden="false" customHeight="true" outlineLevel="0" collapsed="false">
      <c r="C73" s="516"/>
      <c r="D73" s="516"/>
      <c r="E73" s="516"/>
      <c r="F73" s="516"/>
      <c r="G73" s="516"/>
      <c r="H73" s="516"/>
      <c r="I73" s="516"/>
      <c r="J73" s="516"/>
      <c r="K73" s="516"/>
      <c r="L73" s="516"/>
      <c r="M73" s="516"/>
      <c r="N73" s="517"/>
      <c r="O73" s="516"/>
    </row>
    <row r="74" customFormat="false" ht="12.75" hidden="false" customHeight="true" outlineLevel="0" collapsed="false">
      <c r="A74" s="294" t="n">
        <v>1997</v>
      </c>
      <c r="B74" s="501" t="s">
        <v>471</v>
      </c>
      <c r="C74" s="528" t="n">
        <v>0</v>
      </c>
      <c r="D74" s="529" t="n">
        <v>0</v>
      </c>
      <c r="E74" s="529" t="n">
        <v>0</v>
      </c>
      <c r="F74" s="529" t="n">
        <v>25</v>
      </c>
      <c r="G74" s="529" t="n">
        <v>30.6</v>
      </c>
      <c r="H74" s="529" t="n">
        <v>24</v>
      </c>
      <c r="I74" s="529" t="n">
        <v>10</v>
      </c>
      <c r="J74" s="529" t="n">
        <v>10</v>
      </c>
      <c r="K74" s="529" t="n">
        <v>15</v>
      </c>
      <c r="L74" s="529" t="n">
        <v>23.5</v>
      </c>
      <c r="M74" s="529" t="n">
        <v>23.5</v>
      </c>
      <c r="N74" s="530" t="n">
        <v>35</v>
      </c>
      <c r="O74" s="513"/>
      <c r="P74" s="360"/>
      <c r="Q74" s="360"/>
      <c r="R74" s="360"/>
    </row>
    <row r="75" customFormat="false" ht="12.75" hidden="false" customHeight="true" outlineLevel="0" collapsed="false">
      <c r="B75" s="294" t="s">
        <v>472</v>
      </c>
      <c r="C75" s="531" t="n">
        <v>0</v>
      </c>
      <c r="D75" s="360" t="n">
        <v>0</v>
      </c>
      <c r="E75" s="360" t="n">
        <v>0</v>
      </c>
      <c r="F75" s="360" t="n">
        <v>24.5</v>
      </c>
      <c r="G75" s="360" t="n">
        <v>19.6</v>
      </c>
      <c r="H75" s="360" t="n">
        <v>20.5</v>
      </c>
      <c r="I75" s="360" t="n">
        <v>34.1</v>
      </c>
      <c r="J75" s="360" t="n">
        <v>33.9</v>
      </c>
      <c r="K75" s="360" t="n">
        <v>47.6</v>
      </c>
      <c r="L75" s="360" t="n">
        <v>49.7</v>
      </c>
      <c r="M75" s="360" t="n">
        <v>40.9</v>
      </c>
      <c r="N75" s="532" t="n">
        <v>37</v>
      </c>
      <c r="O75" s="513"/>
      <c r="P75" s="360"/>
      <c r="Q75" s="360"/>
      <c r="R75" s="360"/>
    </row>
    <row r="76" customFormat="false" ht="12.75" hidden="false" customHeight="true" outlineLevel="0" collapsed="false">
      <c r="B76" s="294" t="s">
        <v>118</v>
      </c>
      <c r="C76" s="526" t="e">
        <f aca="false">C75/C74</f>
        <v>#DIV/0!</v>
      </c>
      <c r="D76" s="527" t="e">
        <f aca="false">D75/D74</f>
        <v>#DIV/0!</v>
      </c>
      <c r="E76" s="527" t="e">
        <f aca="false">E75/E74</f>
        <v>#DIV/0!</v>
      </c>
      <c r="F76" s="527" t="n">
        <f aca="false">F75/F74</f>
        <v>0.98</v>
      </c>
      <c r="G76" s="527" t="n">
        <f aca="false">G75/G74</f>
        <v>0.640522875816994</v>
      </c>
      <c r="H76" s="527" t="n">
        <f aca="false">H75/H74</f>
        <v>0.854166666666667</v>
      </c>
      <c r="I76" s="527" t="n">
        <f aca="false">I75/I74</f>
        <v>3.41</v>
      </c>
      <c r="J76" s="527" t="n">
        <f aca="false">J75/J74</f>
        <v>3.39</v>
      </c>
      <c r="K76" s="527" t="n">
        <f aca="false">K75/K74</f>
        <v>3.17333333333333</v>
      </c>
      <c r="L76" s="527" t="n">
        <f aca="false">L75/L74</f>
        <v>2.11489361702128</v>
      </c>
      <c r="M76" s="527" t="n">
        <f aca="false">M75/M74</f>
        <v>1.74042553191489</v>
      </c>
      <c r="N76" s="525" t="n">
        <f aca="false">N75/N74</f>
        <v>1.05714285714286</v>
      </c>
      <c r="O76" s="516"/>
    </row>
    <row r="77" customFormat="false" ht="12.75" hidden="false" customHeight="true" outlineLevel="0" collapsed="false">
      <c r="C77" s="516"/>
      <c r="D77" s="516"/>
      <c r="E77" s="516"/>
      <c r="F77" s="516"/>
      <c r="G77" s="516"/>
      <c r="H77" s="516"/>
      <c r="I77" s="516"/>
      <c r="J77" s="516"/>
      <c r="K77" s="516"/>
      <c r="L77" s="516"/>
      <c r="M77" s="516"/>
      <c r="N77" s="516"/>
      <c r="O77" s="516"/>
    </row>
    <row r="78" customFormat="false" ht="12.75" hidden="true" customHeight="true" outlineLevel="0" collapsed="false">
      <c r="B78" s="499" t="s">
        <v>473</v>
      </c>
      <c r="C78" s="516"/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/>
      <c r="O78" s="516"/>
    </row>
    <row r="79" customFormat="false" ht="12.75" hidden="true" customHeight="true" outlineLevel="0" collapsed="false">
      <c r="B79" s="499" t="s">
        <v>470</v>
      </c>
      <c r="C79" s="533" t="n">
        <f aca="false">(C81+C85+C89)/3</f>
        <v>886.866666666667</v>
      </c>
      <c r="D79" s="533" t="n">
        <f aca="false">(D81+D85+D89)/3</f>
        <v>873.1</v>
      </c>
      <c r="E79" s="533" t="n">
        <f aca="false">(E81+E85+E89)/3</f>
        <v>840.133333333333</v>
      </c>
      <c r="F79" s="533" t="n">
        <f aca="false">(F81+F85+F89)/3</f>
        <v>756.763333333333</v>
      </c>
      <c r="G79" s="533" t="n">
        <f aca="false">(G93+G85+G89)/3</f>
        <v>476.333333333333</v>
      </c>
      <c r="H79" s="533" t="n">
        <f aca="false">(H93+H85+H89)/3</f>
        <v>413.566666666667</v>
      </c>
      <c r="I79" s="533" t="n">
        <f aca="false">(I93+I85+I89)/3</f>
        <v>460.8</v>
      </c>
      <c r="J79" s="533" t="n">
        <f aca="false">(J93+J85+J89)/3</f>
        <v>458.4</v>
      </c>
      <c r="K79" s="533" t="n">
        <f aca="false">(K93+K85+K89)/3</f>
        <v>482.233333333333</v>
      </c>
      <c r="L79" s="533" t="n">
        <f aca="false">(L93+L85+L89)/3</f>
        <v>487.033333333333</v>
      </c>
      <c r="M79" s="533" t="n">
        <f aca="false">(M93+M85+M89)/3</f>
        <v>586.766666666667</v>
      </c>
      <c r="N79" s="533" t="n">
        <f aca="false">(N93+N85+N89)/3</f>
        <v>602.866666666667</v>
      </c>
    </row>
    <row r="80" customFormat="false" ht="12.75" hidden="true" customHeight="true" outlineLevel="0" collapsed="false">
      <c r="A80" s="98" t="n">
        <v>2000</v>
      </c>
      <c r="B80" s="501" t="s">
        <v>471</v>
      </c>
      <c r="C80" s="516"/>
      <c r="D80" s="516"/>
      <c r="E80" s="516"/>
      <c r="F80" s="516"/>
      <c r="G80" s="516"/>
      <c r="H80" s="516"/>
      <c r="I80" s="516"/>
      <c r="J80" s="516"/>
      <c r="K80" s="516"/>
      <c r="L80" s="516"/>
      <c r="M80" s="516"/>
      <c r="N80" s="516"/>
      <c r="O80" s="516"/>
    </row>
    <row r="81" customFormat="false" ht="12.75" hidden="true" customHeight="true" outlineLevel="0" collapsed="false">
      <c r="B81" s="294" t="s">
        <v>472</v>
      </c>
      <c r="C81" s="522" t="n">
        <f aca="false">C63+C48+C30+C11</f>
        <v>854.9</v>
      </c>
      <c r="D81" s="522" t="n">
        <f aca="false">D63+D48+D30+D11</f>
        <v>842.2</v>
      </c>
      <c r="E81" s="522" t="n">
        <f aca="false">E63+E48+E30+E11</f>
        <v>890</v>
      </c>
      <c r="F81" s="522" t="n">
        <f aca="false">F63+F48+F30+F11</f>
        <v>719.89</v>
      </c>
      <c r="G81" s="516"/>
      <c r="H81" s="516"/>
      <c r="I81" s="516"/>
      <c r="J81" s="516"/>
      <c r="K81" s="516"/>
      <c r="L81" s="516"/>
      <c r="M81" s="516"/>
      <c r="N81" s="516"/>
      <c r="O81" s="516"/>
    </row>
    <row r="82" customFormat="false" ht="12.75" hidden="true" customHeight="true" outlineLevel="0" collapsed="false">
      <c r="B82" s="294" t="s">
        <v>118</v>
      </c>
      <c r="C82" s="516"/>
      <c r="D82" s="516"/>
      <c r="E82" s="516"/>
      <c r="F82" s="516"/>
      <c r="G82" s="516"/>
      <c r="H82" s="516"/>
      <c r="I82" s="516"/>
      <c r="J82" s="516"/>
      <c r="K82" s="516"/>
      <c r="L82" s="516"/>
      <c r="M82" s="516"/>
      <c r="N82" s="516"/>
      <c r="O82" s="516"/>
    </row>
    <row r="83" customFormat="false" ht="12.75" hidden="true" customHeight="true" outlineLevel="0" collapsed="false">
      <c r="B83" s="499"/>
      <c r="C83" s="516"/>
      <c r="D83" s="516"/>
      <c r="E83" s="516"/>
      <c r="F83" s="516"/>
      <c r="G83" s="516"/>
      <c r="H83" s="516"/>
      <c r="I83" s="516"/>
      <c r="J83" s="516"/>
      <c r="K83" s="516"/>
      <c r="L83" s="516"/>
      <c r="M83" s="516"/>
      <c r="N83" s="516"/>
      <c r="O83" s="516"/>
    </row>
    <row r="84" customFormat="false" ht="12.75" hidden="true" customHeight="true" outlineLevel="0" collapsed="false">
      <c r="A84" s="98" t="n">
        <v>1999</v>
      </c>
      <c r="B84" s="501" t="s">
        <v>471</v>
      </c>
      <c r="C84" s="516"/>
      <c r="D84" s="516"/>
      <c r="E84" s="516"/>
      <c r="F84" s="516"/>
      <c r="G84" s="516"/>
      <c r="H84" s="516"/>
      <c r="I84" s="516"/>
      <c r="J84" s="516"/>
      <c r="K84" s="516"/>
      <c r="L84" s="516"/>
      <c r="M84" s="516"/>
      <c r="N84" s="516"/>
      <c r="O84" s="516"/>
    </row>
    <row r="85" customFormat="false" ht="12.75" hidden="true" customHeight="true" outlineLevel="0" collapsed="false">
      <c r="B85" s="294" t="s">
        <v>472</v>
      </c>
      <c r="C85" s="522" t="n">
        <f aca="false">C67+C52+C34+C15</f>
        <v>900.9</v>
      </c>
      <c r="D85" s="522" t="n">
        <f aca="false">D67+D52+D34+D15</f>
        <v>952.3</v>
      </c>
      <c r="E85" s="522" t="n">
        <f aca="false">E67+E52+E34+E15</f>
        <v>806.1</v>
      </c>
      <c r="F85" s="522" t="n">
        <f aca="false">F67+F52+F34+F15</f>
        <v>752.5</v>
      </c>
      <c r="G85" s="522" t="n">
        <f aca="false">G67+G52+G34+G15</f>
        <v>753.2</v>
      </c>
      <c r="H85" s="522" t="n">
        <f aca="false">H67+H52+H34+H15</f>
        <v>732.5</v>
      </c>
      <c r="I85" s="522" t="n">
        <f aca="false">I67+I52+I34+I15</f>
        <v>799.7</v>
      </c>
      <c r="J85" s="522" t="n">
        <f aca="false">J67+J52+J34+J15</f>
        <v>684</v>
      </c>
      <c r="K85" s="522" t="n">
        <f aca="false">K67+K52+K34+K15</f>
        <v>783.4</v>
      </c>
      <c r="L85" s="522" t="n">
        <f aca="false">L67+L52+L34+L15</f>
        <v>818</v>
      </c>
      <c r="M85" s="522" t="n">
        <f aca="false">M67+M52+M34+M15</f>
        <v>933</v>
      </c>
      <c r="N85" s="522" t="n">
        <f aca="false">N67+N52+N34+N15</f>
        <v>921.2</v>
      </c>
      <c r="O85" s="516"/>
    </row>
    <row r="86" customFormat="false" ht="12.75" hidden="true" customHeight="true" outlineLevel="0" collapsed="false">
      <c r="B86" s="294" t="s">
        <v>118</v>
      </c>
      <c r="C86" s="516"/>
      <c r="D86" s="516"/>
      <c r="E86" s="516"/>
      <c r="F86" s="516"/>
      <c r="G86" s="516"/>
      <c r="H86" s="516"/>
      <c r="I86" s="516"/>
      <c r="J86" s="516"/>
      <c r="K86" s="516"/>
      <c r="L86" s="516"/>
      <c r="M86" s="516"/>
      <c r="N86" s="516"/>
      <c r="O86" s="516"/>
    </row>
    <row r="87" customFormat="false" ht="12.75" hidden="true" customHeight="true" outlineLevel="0" collapsed="false">
      <c r="C87" s="516"/>
      <c r="D87" s="516"/>
      <c r="E87" s="516"/>
      <c r="F87" s="516"/>
      <c r="G87" s="516"/>
      <c r="H87" s="516"/>
      <c r="I87" s="516"/>
      <c r="J87" s="516"/>
      <c r="K87" s="516"/>
      <c r="L87" s="516"/>
      <c r="M87" s="516"/>
      <c r="N87" s="516"/>
      <c r="O87" s="516"/>
    </row>
    <row r="88" customFormat="false" ht="12.75" hidden="true" customHeight="true" outlineLevel="0" collapsed="false">
      <c r="A88" s="294" t="n">
        <v>1998</v>
      </c>
      <c r="B88" s="501" t="s">
        <v>471</v>
      </c>
      <c r="C88" s="516"/>
      <c r="D88" s="516"/>
      <c r="E88" s="516"/>
      <c r="F88" s="516"/>
      <c r="G88" s="516"/>
      <c r="H88" s="516"/>
      <c r="I88" s="516"/>
      <c r="J88" s="516"/>
      <c r="K88" s="516"/>
      <c r="L88" s="516"/>
      <c r="M88" s="516"/>
      <c r="N88" s="516"/>
      <c r="O88" s="516"/>
    </row>
    <row r="89" customFormat="false" ht="12.75" hidden="true" customHeight="true" outlineLevel="0" collapsed="false">
      <c r="B89" s="294" t="s">
        <v>472</v>
      </c>
      <c r="C89" s="522" t="n">
        <f aca="false">C71+C56+C38+C19</f>
        <v>904.8</v>
      </c>
      <c r="D89" s="522" t="n">
        <f aca="false">D71+D56+D38+D19</f>
        <v>824.8</v>
      </c>
      <c r="E89" s="522" t="n">
        <f aca="false">E71+E56+E38+E19</f>
        <v>824.3</v>
      </c>
      <c r="F89" s="522" t="n">
        <f aca="false">F71+F56+F38+F19</f>
        <v>797.9</v>
      </c>
      <c r="G89" s="522" t="n">
        <f aca="false">G71+G56+G38+G19</f>
        <v>675.8</v>
      </c>
      <c r="H89" s="522" t="n">
        <f aca="false">H71+H56+H38+H19</f>
        <v>508.2</v>
      </c>
      <c r="I89" s="522" t="n">
        <f aca="false">I71+I56+I38+I19</f>
        <v>582.7</v>
      </c>
      <c r="J89" s="522" t="n">
        <f aca="false">J71+J56+J38+J19</f>
        <v>691.2</v>
      </c>
      <c r="K89" s="522" t="n">
        <f aca="false">K71+K56+K38+K19</f>
        <v>663.3</v>
      </c>
      <c r="L89" s="522" t="n">
        <f aca="false">L71+L56+L38+L19</f>
        <v>643.1</v>
      </c>
      <c r="M89" s="522" t="n">
        <f aca="false">M71+M56+M38+M19</f>
        <v>827.3</v>
      </c>
      <c r="N89" s="522" t="n">
        <f aca="false">N71+N56+N38+N19</f>
        <v>887.4</v>
      </c>
      <c r="O89" s="516"/>
    </row>
    <row r="90" customFormat="false" ht="12.75" hidden="true" customHeight="true" outlineLevel="0" collapsed="false">
      <c r="B90" s="294" t="s">
        <v>118</v>
      </c>
      <c r="C90" s="516"/>
      <c r="D90" s="516"/>
      <c r="E90" s="516"/>
      <c r="F90" s="516"/>
      <c r="G90" s="516"/>
      <c r="H90" s="516"/>
      <c r="I90" s="516"/>
      <c r="J90" s="516"/>
      <c r="K90" s="516"/>
      <c r="L90" s="516"/>
      <c r="M90" s="516"/>
      <c r="N90" s="516"/>
      <c r="O90" s="516"/>
    </row>
    <row r="91" customFormat="false" ht="12.75" hidden="true" customHeight="true" outlineLevel="0" collapsed="false">
      <c r="C91" s="516"/>
      <c r="D91" s="516"/>
      <c r="E91" s="516"/>
      <c r="F91" s="516"/>
      <c r="G91" s="516"/>
      <c r="H91" s="516"/>
      <c r="I91" s="516"/>
      <c r="J91" s="516"/>
      <c r="K91" s="516"/>
      <c r="L91" s="516"/>
      <c r="M91" s="516"/>
      <c r="N91" s="516"/>
      <c r="O91" s="516"/>
    </row>
    <row r="92" customFormat="false" ht="12.75" hidden="false" customHeight="true" outlineLevel="0" collapsed="false">
      <c r="O92" s="333"/>
    </row>
    <row r="93" customFormat="false" ht="12.75" hidden="false" customHeight="true" outlineLevel="0" collapsed="false">
      <c r="A93" s="496"/>
      <c r="B93" s="497" t="s">
        <v>474</v>
      </c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534"/>
      <c r="O93" s="524"/>
      <c r="P93" s="496"/>
      <c r="Q93" s="496"/>
      <c r="R93" s="496"/>
      <c r="S93" s="496"/>
      <c r="T93" s="496"/>
      <c r="U93" s="496"/>
      <c r="V93" s="496"/>
      <c r="W93" s="496"/>
      <c r="X93" s="496"/>
      <c r="Y93" s="496"/>
      <c r="Z93" s="496"/>
      <c r="AA93" s="496"/>
      <c r="AB93" s="496"/>
      <c r="AC93" s="496"/>
      <c r="AD93" s="496"/>
      <c r="AE93" s="496"/>
      <c r="AF93" s="496"/>
      <c r="AG93" s="496"/>
      <c r="AH93" s="496"/>
      <c r="AI93" s="496"/>
      <c r="AJ93" s="496"/>
      <c r="AK93" s="496"/>
      <c r="AL93" s="496"/>
      <c r="AM93" s="496"/>
      <c r="AN93" s="496"/>
      <c r="AO93" s="496"/>
      <c r="AP93" s="496"/>
      <c r="AQ93" s="496"/>
      <c r="AR93" s="496"/>
      <c r="AS93" s="496"/>
      <c r="AT93" s="496"/>
      <c r="AU93" s="496"/>
      <c r="AV93" s="496"/>
      <c r="AW93" s="496"/>
      <c r="AX93" s="496"/>
      <c r="AY93" s="496"/>
      <c r="AZ93" s="496"/>
      <c r="BA93" s="496"/>
      <c r="BB93" s="496"/>
      <c r="BC93" s="496"/>
      <c r="BD93" s="496"/>
      <c r="BE93" s="496"/>
      <c r="BF93" s="496"/>
      <c r="BG93" s="496"/>
      <c r="BH93" s="496"/>
      <c r="BI93" s="496"/>
      <c r="BJ93" s="496"/>
      <c r="BK93" s="496"/>
      <c r="BL93" s="496"/>
      <c r="BM93" s="496"/>
      <c r="BN93" s="496"/>
      <c r="BO93" s="496"/>
      <c r="BP93" s="496"/>
      <c r="BQ93" s="496"/>
      <c r="BR93" s="496"/>
      <c r="BS93" s="496"/>
      <c r="BT93" s="496"/>
      <c r="BU93" s="496"/>
      <c r="BV93" s="496"/>
      <c r="BW93" s="496"/>
      <c r="BX93" s="496"/>
      <c r="BY93" s="496"/>
      <c r="BZ93" s="496"/>
      <c r="CA93" s="496"/>
      <c r="CB93" s="496"/>
      <c r="CC93" s="496"/>
      <c r="CD93" s="496"/>
      <c r="CE93" s="496"/>
      <c r="CF93" s="496"/>
      <c r="CG93" s="496"/>
      <c r="CH93" s="496"/>
      <c r="CI93" s="496"/>
      <c r="CJ93" s="496"/>
      <c r="CK93" s="496"/>
      <c r="CL93" s="496"/>
      <c r="CM93" s="496"/>
      <c r="CN93" s="496"/>
      <c r="CO93" s="496"/>
      <c r="CP93" s="496"/>
      <c r="CQ93" s="496"/>
      <c r="CR93" s="496"/>
      <c r="CS93" s="496"/>
      <c r="CT93" s="496"/>
      <c r="CU93" s="496"/>
      <c r="CV93" s="496"/>
      <c r="CW93" s="496"/>
      <c r="CX93" s="496"/>
      <c r="CY93" s="496"/>
      <c r="CZ93" s="496"/>
      <c r="DA93" s="496"/>
      <c r="DB93" s="496"/>
      <c r="DC93" s="496"/>
      <c r="DD93" s="496"/>
      <c r="DE93" s="496"/>
      <c r="DF93" s="496"/>
      <c r="DG93" s="496"/>
      <c r="DH93" s="496"/>
      <c r="DI93" s="496"/>
      <c r="DJ93" s="496"/>
      <c r="DK93" s="496"/>
      <c r="DL93" s="496"/>
      <c r="DM93" s="496"/>
      <c r="DN93" s="496"/>
      <c r="DO93" s="496"/>
      <c r="DP93" s="496"/>
      <c r="DQ93" s="496"/>
      <c r="DR93" s="496"/>
      <c r="DS93" s="496"/>
      <c r="DT93" s="496"/>
      <c r="DU93" s="496"/>
      <c r="DV93" s="496"/>
      <c r="DW93" s="496"/>
      <c r="DX93" s="496"/>
      <c r="DY93" s="496"/>
      <c r="DZ93" s="496"/>
      <c r="EA93" s="496"/>
      <c r="EB93" s="496"/>
      <c r="EC93" s="496"/>
      <c r="ED93" s="496"/>
      <c r="EE93" s="496"/>
      <c r="EF93" s="496"/>
      <c r="EG93" s="496"/>
      <c r="EH93" s="496"/>
      <c r="EI93" s="496"/>
      <c r="EJ93" s="496"/>
      <c r="EK93" s="496"/>
      <c r="EL93" s="496"/>
      <c r="EM93" s="496"/>
      <c r="EN93" s="496"/>
      <c r="EO93" s="496"/>
      <c r="EP93" s="496"/>
      <c r="EQ93" s="496"/>
      <c r="ER93" s="496"/>
      <c r="ES93" s="496"/>
      <c r="ET93" s="496"/>
      <c r="EU93" s="496"/>
      <c r="EV93" s="496"/>
      <c r="EW93" s="496"/>
      <c r="EX93" s="496"/>
      <c r="EY93" s="496"/>
      <c r="EZ93" s="496"/>
      <c r="FA93" s="496"/>
      <c r="FB93" s="496"/>
      <c r="FC93" s="496"/>
      <c r="FD93" s="496"/>
      <c r="FE93" s="496"/>
      <c r="FF93" s="496"/>
      <c r="FG93" s="496"/>
      <c r="FH93" s="496"/>
      <c r="FI93" s="496"/>
      <c r="FJ93" s="496"/>
      <c r="FK93" s="496"/>
      <c r="FL93" s="496"/>
      <c r="FM93" s="496"/>
      <c r="FN93" s="496"/>
      <c r="FO93" s="496"/>
      <c r="FP93" s="496"/>
      <c r="FQ93" s="496"/>
      <c r="FR93" s="496"/>
      <c r="FS93" s="496"/>
      <c r="FT93" s="496"/>
      <c r="FU93" s="496"/>
      <c r="FV93" s="496"/>
      <c r="FW93" s="496"/>
      <c r="FX93" s="496"/>
      <c r="FY93" s="496"/>
      <c r="FZ93" s="496"/>
      <c r="GA93" s="496"/>
      <c r="GB93" s="496"/>
      <c r="GC93" s="496"/>
      <c r="GD93" s="496"/>
      <c r="GE93" s="496"/>
      <c r="GF93" s="496"/>
      <c r="GG93" s="496"/>
      <c r="GH93" s="496"/>
      <c r="GI93" s="496"/>
      <c r="GJ93" s="496"/>
      <c r="GK93" s="496"/>
      <c r="GL93" s="496"/>
      <c r="GM93" s="496"/>
      <c r="GN93" s="496"/>
      <c r="GO93" s="496"/>
      <c r="GP93" s="496"/>
      <c r="GQ93" s="496"/>
      <c r="GR93" s="496"/>
      <c r="GS93" s="496"/>
      <c r="GT93" s="496"/>
      <c r="GU93" s="496"/>
      <c r="GV93" s="496"/>
      <c r="GW93" s="496"/>
      <c r="GX93" s="496"/>
      <c r="GY93" s="496"/>
      <c r="GZ93" s="496"/>
      <c r="HA93" s="496"/>
      <c r="HB93" s="496"/>
      <c r="HC93" s="496"/>
      <c r="HD93" s="496"/>
      <c r="HE93" s="496"/>
      <c r="HF93" s="496"/>
      <c r="HG93" s="496"/>
      <c r="HH93" s="496"/>
      <c r="HI93" s="496"/>
      <c r="HJ93" s="496"/>
      <c r="HK93" s="496"/>
      <c r="HL93" s="496"/>
      <c r="HM93" s="496"/>
      <c r="HN93" s="496"/>
      <c r="HO93" s="496"/>
      <c r="HP93" s="496"/>
      <c r="HQ93" s="496"/>
      <c r="HR93" s="496"/>
      <c r="HS93" s="496"/>
      <c r="HT93" s="496"/>
      <c r="HU93" s="496"/>
      <c r="HV93" s="496"/>
      <c r="HW93" s="496"/>
      <c r="HX93" s="496"/>
      <c r="HY93" s="496"/>
      <c r="HZ93" s="496"/>
      <c r="IA93" s="496"/>
      <c r="IB93" s="496"/>
      <c r="IC93" s="496"/>
      <c r="ID93" s="496"/>
      <c r="IE93" s="496"/>
      <c r="IF93" s="496"/>
      <c r="IG93" s="496"/>
      <c r="IH93" s="496"/>
      <c r="II93" s="496"/>
      <c r="IJ93" s="496"/>
      <c r="IK93" s="496"/>
      <c r="IL93" s="496"/>
      <c r="IM93" s="496"/>
      <c r="IN93" s="496"/>
      <c r="IO93" s="496"/>
      <c r="IP93" s="496"/>
      <c r="IQ93" s="496"/>
      <c r="IR93" s="496"/>
      <c r="IS93" s="496"/>
      <c r="IT93" s="496"/>
      <c r="IU93" s="496"/>
      <c r="IV93" s="496"/>
      <c r="IW93" s="496"/>
    </row>
    <row r="94" customFormat="false" ht="12.75" hidden="false" customHeight="true" outlineLevel="0" collapsed="false">
      <c r="A94" s="98" t="n">
        <v>1999</v>
      </c>
      <c r="B94" s="501" t="s">
        <v>471</v>
      </c>
      <c r="C94" s="509" t="n">
        <v>100</v>
      </c>
      <c r="D94" s="510" t="n">
        <v>100</v>
      </c>
      <c r="E94" s="510" t="n">
        <v>155.2</v>
      </c>
      <c r="F94" s="510" t="n">
        <v>145</v>
      </c>
      <c r="G94" s="510" t="n">
        <v>145</v>
      </c>
      <c r="H94" s="510" t="n">
        <v>145</v>
      </c>
      <c r="I94" s="510" t="n">
        <v>149</v>
      </c>
      <c r="J94" s="510" t="n">
        <v>186.1</v>
      </c>
      <c r="K94" s="510" t="n">
        <v>175</v>
      </c>
      <c r="L94" s="510" t="n">
        <v>100</v>
      </c>
      <c r="M94" s="510" t="n">
        <v>100</v>
      </c>
      <c r="N94" s="511" t="n">
        <v>45</v>
      </c>
      <c r="O94" s="513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98"/>
      <c r="DF94" s="98"/>
      <c r="DG94" s="98"/>
      <c r="DH94" s="98"/>
      <c r="DI94" s="98"/>
      <c r="DJ94" s="98"/>
      <c r="DK94" s="98"/>
      <c r="DL94" s="98"/>
      <c r="DM94" s="98"/>
      <c r="DN94" s="98"/>
      <c r="DO94" s="98"/>
      <c r="DP94" s="98"/>
      <c r="DQ94" s="98"/>
      <c r="DR94" s="98"/>
      <c r="DS94" s="98"/>
      <c r="DT94" s="98"/>
      <c r="DU94" s="98"/>
      <c r="DV94" s="98"/>
      <c r="DW94" s="98"/>
      <c r="DX94" s="98"/>
      <c r="DY94" s="98"/>
      <c r="DZ94" s="98"/>
      <c r="EA94" s="98"/>
      <c r="EB94" s="98"/>
      <c r="EC94" s="98"/>
      <c r="ED94" s="98"/>
      <c r="EE94" s="98"/>
      <c r="EF94" s="98"/>
      <c r="EG94" s="98"/>
      <c r="EH94" s="98"/>
      <c r="EI94" s="98"/>
      <c r="EJ94" s="98"/>
      <c r="EK94" s="98"/>
      <c r="EL94" s="98"/>
      <c r="EM94" s="98"/>
      <c r="EN94" s="98"/>
      <c r="EO94" s="98"/>
      <c r="EP94" s="98"/>
      <c r="EQ94" s="98"/>
      <c r="ER94" s="98"/>
      <c r="ES94" s="98"/>
      <c r="ET94" s="98"/>
      <c r="EU94" s="98"/>
      <c r="EV94" s="98"/>
      <c r="EW94" s="98"/>
      <c r="EX94" s="98"/>
      <c r="EY94" s="98"/>
      <c r="EZ94" s="98"/>
      <c r="FA94" s="98"/>
      <c r="FB94" s="98"/>
      <c r="FC94" s="98"/>
      <c r="FD94" s="98"/>
      <c r="FE94" s="98"/>
      <c r="FF94" s="98"/>
      <c r="FG94" s="98"/>
      <c r="FH94" s="98"/>
      <c r="FI94" s="98"/>
      <c r="FJ94" s="98"/>
      <c r="FK94" s="98"/>
      <c r="FL94" s="98"/>
      <c r="FM94" s="98"/>
      <c r="FN94" s="98"/>
      <c r="FO94" s="98"/>
      <c r="FP94" s="98"/>
      <c r="FQ94" s="98"/>
      <c r="FR94" s="98"/>
      <c r="FS94" s="98"/>
      <c r="FT94" s="98"/>
      <c r="FU94" s="98"/>
      <c r="FV94" s="98"/>
      <c r="FW94" s="98"/>
      <c r="FX94" s="98"/>
      <c r="FY94" s="98"/>
      <c r="FZ94" s="98"/>
      <c r="GA94" s="98"/>
      <c r="GB94" s="98"/>
      <c r="GC94" s="98"/>
      <c r="GD94" s="98"/>
      <c r="GE94" s="98"/>
      <c r="GF94" s="98"/>
      <c r="GG94" s="98"/>
      <c r="GH94" s="98"/>
      <c r="GI94" s="98"/>
      <c r="GJ94" s="98"/>
      <c r="GK94" s="98"/>
      <c r="GL94" s="98"/>
      <c r="GM94" s="98"/>
      <c r="GN94" s="98"/>
      <c r="GO94" s="98"/>
      <c r="GP94" s="98"/>
      <c r="GQ94" s="98"/>
      <c r="GR94" s="98"/>
      <c r="GS94" s="98"/>
      <c r="GT94" s="98"/>
      <c r="GU94" s="98"/>
      <c r="GV94" s="98"/>
      <c r="GW94" s="98"/>
      <c r="GX94" s="98"/>
      <c r="GY94" s="98"/>
      <c r="GZ94" s="98"/>
      <c r="HA94" s="98"/>
      <c r="HB94" s="98"/>
      <c r="HC94" s="98"/>
      <c r="HD94" s="98"/>
      <c r="HE94" s="98"/>
      <c r="HF94" s="98"/>
      <c r="HG94" s="98"/>
      <c r="HH94" s="98"/>
      <c r="HI94" s="98"/>
      <c r="HJ94" s="98"/>
      <c r="HK94" s="98"/>
      <c r="HL94" s="98"/>
      <c r="HM94" s="98"/>
      <c r="HN94" s="98"/>
      <c r="HO94" s="98"/>
      <c r="HP94" s="98"/>
      <c r="HQ94" s="98"/>
      <c r="HR94" s="98"/>
      <c r="HS94" s="98"/>
      <c r="HT94" s="98"/>
      <c r="HU94" s="98"/>
      <c r="HV94" s="98"/>
      <c r="HW94" s="98"/>
      <c r="HX94" s="98"/>
      <c r="HY94" s="98"/>
      <c r="HZ94" s="98"/>
      <c r="IA94" s="98"/>
      <c r="IB94" s="98"/>
      <c r="IC94" s="98"/>
      <c r="ID94" s="98"/>
      <c r="IE94" s="98"/>
      <c r="IF94" s="98"/>
      <c r="IG94" s="98"/>
      <c r="IH94" s="98"/>
      <c r="II94" s="98"/>
      <c r="IJ94" s="98"/>
      <c r="IK94" s="98"/>
      <c r="IL94" s="98"/>
      <c r="IM94" s="98"/>
      <c r="IN94" s="98"/>
      <c r="IO94" s="98"/>
      <c r="IP94" s="98"/>
      <c r="IQ94" s="98"/>
      <c r="IR94" s="98"/>
      <c r="IS94" s="98"/>
      <c r="IT94" s="98"/>
      <c r="IU94" s="98"/>
      <c r="IV94" s="98"/>
      <c r="IW94" s="98"/>
    </row>
    <row r="95" customFormat="false" ht="12.75" hidden="false" customHeight="true" outlineLevel="0" collapsed="false">
      <c r="B95" s="294" t="s">
        <v>472</v>
      </c>
      <c r="C95" s="332" t="n">
        <v>57</v>
      </c>
      <c r="D95" s="333" t="n">
        <v>51.1</v>
      </c>
      <c r="E95" s="333" t="n">
        <v>31.8</v>
      </c>
      <c r="F95" s="333" t="n">
        <v>38.4</v>
      </c>
      <c r="G95" s="333" t="n">
        <v>21.1</v>
      </c>
      <c r="H95" s="333" t="n">
        <v>51</v>
      </c>
      <c r="I95" s="333" t="n">
        <v>75.8</v>
      </c>
      <c r="J95" s="333" t="n">
        <v>150.6</v>
      </c>
      <c r="K95" s="333" t="n">
        <v>93.7</v>
      </c>
      <c r="L95" s="333" t="n">
        <v>95</v>
      </c>
      <c r="M95" s="333" t="n">
        <v>95</v>
      </c>
      <c r="N95" s="337" t="n">
        <v>0.5</v>
      </c>
      <c r="O95" s="513"/>
    </row>
    <row r="96" customFormat="false" ht="12.75" hidden="false" customHeight="true" outlineLevel="0" collapsed="false">
      <c r="B96" s="294" t="s">
        <v>118</v>
      </c>
      <c r="C96" s="526" t="n">
        <f aca="false">C95/C94</f>
        <v>0.57</v>
      </c>
      <c r="D96" s="527" t="n">
        <f aca="false">D95/D94</f>
        <v>0.511</v>
      </c>
      <c r="E96" s="527" t="n">
        <f aca="false">E95/E94</f>
        <v>0.204896907216495</v>
      </c>
      <c r="F96" s="527" t="n">
        <f aca="false">F95/F94</f>
        <v>0.264827586206897</v>
      </c>
      <c r="G96" s="527" t="n">
        <f aca="false">G95/G94</f>
        <v>0.14551724137931</v>
      </c>
      <c r="H96" s="527" t="n">
        <f aca="false">H95/H94</f>
        <v>0.351724137931034</v>
      </c>
      <c r="I96" s="527" t="n">
        <f aca="false">I95/I94</f>
        <v>0.508724832214765</v>
      </c>
      <c r="J96" s="527" t="n">
        <f aca="false">J95/J94</f>
        <v>0.809242342826437</v>
      </c>
      <c r="K96" s="527" t="n">
        <f aca="false">K95/K94</f>
        <v>0.535428571428572</v>
      </c>
      <c r="L96" s="527" t="n">
        <f aca="false">L95/L94</f>
        <v>0.95</v>
      </c>
      <c r="M96" s="527" t="n">
        <f aca="false">M95/M94</f>
        <v>0.95</v>
      </c>
      <c r="N96" s="525" t="n">
        <f aca="false">N95/N94</f>
        <v>0.0111111111111111</v>
      </c>
      <c r="O96" s="516"/>
    </row>
    <row r="97" customFormat="false" ht="12.75" hidden="false" customHeight="true" outlineLevel="0" collapsed="false">
      <c r="N97" s="337"/>
      <c r="O97" s="333"/>
    </row>
    <row r="98" customFormat="false" ht="12.75" hidden="false" customHeight="true" outlineLevel="0" collapsed="false">
      <c r="A98" s="294" t="n">
        <v>1998</v>
      </c>
      <c r="B98" s="501" t="s">
        <v>471</v>
      </c>
      <c r="C98" s="328" t="n">
        <v>145</v>
      </c>
      <c r="D98" s="329" t="n">
        <v>145</v>
      </c>
      <c r="E98" s="329" t="n">
        <v>145</v>
      </c>
      <c r="F98" s="329" t="n">
        <v>110</v>
      </c>
      <c r="G98" s="329" t="n">
        <v>110</v>
      </c>
      <c r="H98" s="329" t="n">
        <v>116.7</v>
      </c>
      <c r="I98" s="329" t="n">
        <v>213.7</v>
      </c>
      <c r="J98" s="329" t="n">
        <v>112.6</v>
      </c>
      <c r="K98" s="329" t="n">
        <v>110</v>
      </c>
      <c r="L98" s="329" t="n">
        <v>110</v>
      </c>
      <c r="M98" s="329" t="n">
        <v>100</v>
      </c>
      <c r="N98" s="331" t="n">
        <v>100</v>
      </c>
      <c r="O98" s="512"/>
    </row>
    <row r="99" customFormat="false" ht="12.75" hidden="false" customHeight="true" outlineLevel="0" collapsed="false">
      <c r="B99" s="294" t="s">
        <v>472</v>
      </c>
      <c r="C99" s="332" t="n">
        <f aca="false">1.5+45</f>
        <v>46.5</v>
      </c>
      <c r="D99" s="333" t="n">
        <f aca="false">33.2+45</f>
        <v>78.2</v>
      </c>
      <c r="E99" s="333" t="n">
        <f aca="false">39+45</f>
        <v>84</v>
      </c>
      <c r="F99" s="333" t="n">
        <f aca="false">16.1+45</f>
        <v>61.1</v>
      </c>
      <c r="G99" s="333" t="n">
        <f aca="false">25.6+45</f>
        <v>70.6</v>
      </c>
      <c r="H99" s="333" t="n">
        <f aca="false">127.8+45</f>
        <v>172.8</v>
      </c>
      <c r="I99" s="333" t="n">
        <f aca="false">116.8+45</f>
        <v>161.8</v>
      </c>
      <c r="J99" s="333" t="n">
        <f aca="false">2.6+45</f>
        <v>47.6</v>
      </c>
      <c r="K99" s="333" t="n">
        <f aca="false">65.6+45</f>
        <v>110.6</v>
      </c>
      <c r="L99" s="333" t="n">
        <f aca="false">14.8+45</f>
        <v>59.8</v>
      </c>
      <c r="M99" s="333" t="n">
        <v>45</v>
      </c>
      <c r="N99" s="337" t="n">
        <f aca="false">1.2+45</f>
        <v>46.2</v>
      </c>
      <c r="O99" s="513"/>
    </row>
    <row r="100" customFormat="false" ht="12.75" hidden="false" customHeight="true" outlineLevel="0" collapsed="false">
      <c r="B100" s="294" t="s">
        <v>118</v>
      </c>
      <c r="C100" s="526" t="n">
        <f aca="false">C99/C98</f>
        <v>0.320689655172414</v>
      </c>
      <c r="D100" s="527" t="n">
        <f aca="false">D99/D98</f>
        <v>0.539310344827586</v>
      </c>
      <c r="E100" s="527" t="n">
        <f aca="false">E99/E98</f>
        <v>0.579310344827586</v>
      </c>
      <c r="F100" s="527" t="n">
        <f aca="false">F99/F98</f>
        <v>0.555454545454545</v>
      </c>
      <c r="G100" s="527" t="n">
        <f aca="false">G99/G98</f>
        <v>0.641818181818182</v>
      </c>
      <c r="H100" s="527" t="n">
        <f aca="false">H99/H98</f>
        <v>1.48071979434447</v>
      </c>
      <c r="I100" s="527" t="n">
        <f aca="false">I99/I98</f>
        <v>0.757136172204024</v>
      </c>
      <c r="J100" s="527" t="n">
        <f aca="false">J99/J98</f>
        <v>0.422735346358792</v>
      </c>
      <c r="K100" s="527" t="n">
        <f aca="false">K99/K98</f>
        <v>1.00545454545455</v>
      </c>
      <c r="L100" s="527" t="n">
        <f aca="false">L99/L98</f>
        <v>0.543636363636364</v>
      </c>
      <c r="M100" s="527" t="n">
        <f aca="false">M99/M98</f>
        <v>0.45</v>
      </c>
      <c r="N100" s="525" t="n">
        <f aca="false">N99/N98</f>
        <v>0.462</v>
      </c>
      <c r="O100" s="516"/>
    </row>
    <row r="101" customFormat="false" ht="12.75" hidden="false" customHeight="true" outlineLevel="0" collapsed="false">
      <c r="C101" s="516"/>
      <c r="D101" s="516"/>
      <c r="E101" s="516"/>
      <c r="F101" s="516"/>
      <c r="G101" s="516"/>
      <c r="H101" s="516"/>
      <c r="I101" s="516"/>
      <c r="J101" s="516"/>
      <c r="K101" s="516"/>
      <c r="L101" s="516"/>
      <c r="M101" s="516"/>
      <c r="N101" s="516"/>
      <c r="O101" s="516"/>
    </row>
    <row r="102" customFormat="false" ht="12.75" hidden="false" customHeight="true" outlineLevel="0" collapsed="false">
      <c r="O102" s="333"/>
    </row>
    <row r="103" customFormat="false" ht="12.75" hidden="false" customHeight="true" outlineLevel="0" collapsed="false">
      <c r="A103" s="496"/>
      <c r="B103" s="497" t="s">
        <v>38</v>
      </c>
      <c r="C103" s="498"/>
      <c r="D103" s="498"/>
      <c r="E103" s="498"/>
      <c r="F103" s="498"/>
      <c r="G103" s="498"/>
      <c r="H103" s="498"/>
      <c r="I103" s="498"/>
      <c r="J103" s="498"/>
      <c r="K103" s="498"/>
      <c r="L103" s="498"/>
      <c r="M103" s="498"/>
      <c r="N103" s="498"/>
      <c r="O103" s="524"/>
      <c r="P103" s="496"/>
      <c r="Q103" s="496"/>
      <c r="R103" s="496"/>
      <c r="S103" s="496"/>
      <c r="T103" s="496"/>
      <c r="U103" s="496"/>
      <c r="V103" s="496"/>
      <c r="W103" s="496"/>
      <c r="X103" s="496"/>
      <c r="Y103" s="496"/>
      <c r="Z103" s="496"/>
      <c r="AA103" s="496"/>
      <c r="AB103" s="496"/>
      <c r="AC103" s="496"/>
      <c r="AD103" s="496"/>
      <c r="AE103" s="496"/>
      <c r="AF103" s="496"/>
      <c r="AG103" s="496"/>
      <c r="AH103" s="496"/>
      <c r="AI103" s="496"/>
      <c r="AJ103" s="496"/>
      <c r="AK103" s="496"/>
      <c r="AL103" s="496"/>
      <c r="AM103" s="496"/>
      <c r="AN103" s="496"/>
      <c r="AO103" s="496"/>
      <c r="AP103" s="496"/>
      <c r="AQ103" s="496"/>
      <c r="AR103" s="496"/>
      <c r="AS103" s="496"/>
      <c r="AT103" s="496"/>
      <c r="AU103" s="496"/>
      <c r="AV103" s="496"/>
      <c r="AW103" s="496"/>
      <c r="AX103" s="496"/>
      <c r="AY103" s="496"/>
      <c r="AZ103" s="496"/>
      <c r="BA103" s="496"/>
      <c r="BB103" s="496"/>
      <c r="BC103" s="496"/>
      <c r="BD103" s="496"/>
      <c r="BE103" s="496"/>
      <c r="BF103" s="496"/>
      <c r="BG103" s="496"/>
      <c r="BH103" s="496"/>
      <c r="BI103" s="496"/>
      <c r="BJ103" s="496"/>
      <c r="BK103" s="496"/>
      <c r="BL103" s="496"/>
      <c r="BM103" s="496"/>
      <c r="BN103" s="496"/>
      <c r="BO103" s="496"/>
      <c r="BP103" s="496"/>
      <c r="BQ103" s="496"/>
      <c r="BR103" s="496"/>
      <c r="BS103" s="496"/>
      <c r="BT103" s="496"/>
      <c r="BU103" s="496"/>
      <c r="BV103" s="496"/>
      <c r="BW103" s="496"/>
      <c r="BX103" s="496"/>
      <c r="BY103" s="496"/>
      <c r="BZ103" s="496"/>
      <c r="CA103" s="496"/>
      <c r="CB103" s="496"/>
      <c r="CC103" s="496"/>
      <c r="CD103" s="496"/>
      <c r="CE103" s="496"/>
      <c r="CF103" s="496"/>
      <c r="CG103" s="496"/>
      <c r="CH103" s="496"/>
      <c r="CI103" s="496"/>
      <c r="CJ103" s="496"/>
      <c r="CK103" s="496"/>
      <c r="CL103" s="496"/>
      <c r="CM103" s="496"/>
      <c r="CN103" s="496"/>
      <c r="CO103" s="496"/>
      <c r="CP103" s="496"/>
      <c r="CQ103" s="496"/>
      <c r="CR103" s="496"/>
      <c r="CS103" s="496"/>
      <c r="CT103" s="496"/>
      <c r="CU103" s="496"/>
      <c r="CV103" s="496"/>
      <c r="CW103" s="496"/>
      <c r="CX103" s="496"/>
      <c r="CY103" s="496"/>
      <c r="CZ103" s="496"/>
      <c r="DA103" s="496"/>
      <c r="DB103" s="496"/>
      <c r="DC103" s="496"/>
      <c r="DD103" s="496"/>
      <c r="DE103" s="496"/>
      <c r="DF103" s="496"/>
      <c r="DG103" s="496"/>
      <c r="DH103" s="496"/>
      <c r="DI103" s="496"/>
      <c r="DJ103" s="496"/>
      <c r="DK103" s="496"/>
      <c r="DL103" s="496"/>
      <c r="DM103" s="496"/>
      <c r="DN103" s="496"/>
      <c r="DO103" s="496"/>
      <c r="DP103" s="496"/>
      <c r="DQ103" s="496"/>
      <c r="DR103" s="496"/>
      <c r="DS103" s="496"/>
      <c r="DT103" s="496"/>
      <c r="DU103" s="496"/>
      <c r="DV103" s="496"/>
      <c r="DW103" s="496"/>
      <c r="DX103" s="496"/>
      <c r="DY103" s="496"/>
      <c r="DZ103" s="496"/>
      <c r="EA103" s="496"/>
      <c r="EB103" s="496"/>
      <c r="EC103" s="496"/>
      <c r="ED103" s="496"/>
      <c r="EE103" s="496"/>
      <c r="EF103" s="496"/>
      <c r="EG103" s="496"/>
      <c r="EH103" s="496"/>
      <c r="EI103" s="496"/>
      <c r="EJ103" s="496"/>
      <c r="EK103" s="496"/>
      <c r="EL103" s="496"/>
      <c r="EM103" s="496"/>
      <c r="EN103" s="496"/>
      <c r="EO103" s="496"/>
      <c r="EP103" s="496"/>
      <c r="EQ103" s="496"/>
      <c r="ER103" s="496"/>
      <c r="ES103" s="496"/>
      <c r="ET103" s="496"/>
      <c r="EU103" s="496"/>
      <c r="EV103" s="496"/>
      <c r="EW103" s="496"/>
      <c r="EX103" s="496"/>
      <c r="EY103" s="496"/>
      <c r="EZ103" s="496"/>
      <c r="FA103" s="496"/>
      <c r="FB103" s="496"/>
      <c r="FC103" s="496"/>
      <c r="FD103" s="496"/>
      <c r="FE103" s="496"/>
      <c r="FF103" s="496"/>
      <c r="FG103" s="496"/>
      <c r="FH103" s="496"/>
      <c r="FI103" s="496"/>
      <c r="FJ103" s="496"/>
      <c r="FK103" s="496"/>
      <c r="FL103" s="496"/>
      <c r="FM103" s="496"/>
      <c r="FN103" s="496"/>
      <c r="FO103" s="496"/>
      <c r="FP103" s="496"/>
      <c r="FQ103" s="496"/>
      <c r="FR103" s="496"/>
      <c r="FS103" s="496"/>
      <c r="FT103" s="496"/>
      <c r="FU103" s="496"/>
      <c r="FV103" s="496"/>
      <c r="FW103" s="496"/>
      <c r="FX103" s="496"/>
      <c r="FY103" s="496"/>
      <c r="FZ103" s="496"/>
      <c r="GA103" s="496"/>
      <c r="GB103" s="496"/>
      <c r="GC103" s="496"/>
      <c r="GD103" s="496"/>
      <c r="GE103" s="496"/>
      <c r="GF103" s="496"/>
      <c r="GG103" s="496"/>
      <c r="GH103" s="496"/>
      <c r="GI103" s="496"/>
      <c r="GJ103" s="496"/>
      <c r="GK103" s="496"/>
      <c r="GL103" s="496"/>
      <c r="GM103" s="496"/>
      <c r="GN103" s="496"/>
      <c r="GO103" s="496"/>
      <c r="GP103" s="496"/>
      <c r="GQ103" s="496"/>
      <c r="GR103" s="496"/>
      <c r="GS103" s="496"/>
      <c r="GT103" s="496"/>
      <c r="GU103" s="496"/>
      <c r="GV103" s="496"/>
      <c r="GW103" s="496"/>
      <c r="GX103" s="496"/>
      <c r="GY103" s="496"/>
      <c r="GZ103" s="496"/>
      <c r="HA103" s="496"/>
      <c r="HB103" s="496"/>
      <c r="HC103" s="496"/>
      <c r="HD103" s="496"/>
      <c r="HE103" s="496"/>
      <c r="HF103" s="496"/>
      <c r="HG103" s="496"/>
      <c r="HH103" s="496"/>
      <c r="HI103" s="496"/>
      <c r="HJ103" s="496"/>
      <c r="HK103" s="496"/>
      <c r="HL103" s="496"/>
      <c r="HM103" s="496"/>
      <c r="HN103" s="496"/>
      <c r="HO103" s="496"/>
      <c r="HP103" s="496"/>
      <c r="HQ103" s="496"/>
      <c r="HR103" s="496"/>
      <c r="HS103" s="496"/>
      <c r="HT103" s="496"/>
      <c r="HU103" s="496"/>
      <c r="HV103" s="496"/>
      <c r="HW103" s="496"/>
      <c r="HX103" s="496"/>
      <c r="HY103" s="496"/>
      <c r="HZ103" s="496"/>
      <c r="IA103" s="496"/>
      <c r="IB103" s="496"/>
      <c r="IC103" s="496"/>
      <c r="ID103" s="496"/>
      <c r="IE103" s="496"/>
      <c r="IF103" s="496"/>
      <c r="IG103" s="496"/>
      <c r="IH103" s="496"/>
      <c r="II103" s="496"/>
      <c r="IJ103" s="496"/>
      <c r="IK103" s="496"/>
      <c r="IL103" s="496"/>
      <c r="IM103" s="496"/>
      <c r="IN103" s="496"/>
      <c r="IO103" s="496"/>
      <c r="IP103" s="496"/>
      <c r="IQ103" s="496"/>
      <c r="IR103" s="496"/>
      <c r="IS103" s="496"/>
      <c r="IT103" s="496"/>
      <c r="IU103" s="496"/>
      <c r="IV103" s="496"/>
      <c r="IW103" s="496"/>
    </row>
    <row r="104" customFormat="false" ht="12.75" hidden="false" customHeight="true" outlineLevel="0" collapsed="false">
      <c r="B104" s="499" t="s">
        <v>470</v>
      </c>
      <c r="C104" s="500" t="n">
        <f aca="false">(C107+C111+C115)/3</f>
        <v>0.591299623347914</v>
      </c>
      <c r="D104" s="500" t="n">
        <f aca="false">(D107+D111+D115)/3</f>
        <v>0.614503794660438</v>
      </c>
      <c r="E104" s="500" t="n">
        <f aca="false">(E107+E111+E115)/3</f>
        <v>0.78052373677962</v>
      </c>
      <c r="F104" s="500" t="n">
        <f aca="false">(F107+F111+F115)/3</f>
        <v>0.771186689764238</v>
      </c>
      <c r="G104" s="500" t="n">
        <f aca="false">(G119+G111+G115)/3</f>
        <v>0.869318937469411</v>
      </c>
      <c r="H104" s="500" t="n">
        <f aca="false">(H119+H111+H115)/3</f>
        <v>0.949374315712559</v>
      </c>
      <c r="I104" s="500" t="n">
        <f aca="false">(I119+I111+I115)/3</f>
        <v>0.818258869338586</v>
      </c>
      <c r="J104" s="500" t="n">
        <f aca="false">(J119+J111+J115)/3</f>
        <v>0.872434945770917</v>
      </c>
      <c r="K104" s="500" t="n">
        <f aca="false">(K119+K111+K115)/3</f>
        <v>0.752690700753991</v>
      </c>
      <c r="L104" s="500" t="n">
        <f aca="false">(L119+L111+L115)/3</f>
        <v>0.493337214517916</v>
      </c>
      <c r="M104" s="500" t="n">
        <f aca="false">(M119+M111+M115)/3</f>
        <v>0.500014649722231</v>
      </c>
      <c r="N104" s="500" t="n">
        <f aca="false">(N119+N111+N115)/3</f>
        <v>0.905178946563821</v>
      </c>
    </row>
    <row r="105" customFormat="false" ht="12.75" hidden="false" customHeight="true" outlineLevel="0" collapsed="false">
      <c r="A105" s="98" t="n">
        <v>2000</v>
      </c>
      <c r="B105" s="501" t="s">
        <v>471</v>
      </c>
      <c r="C105" s="509" t="n">
        <v>243</v>
      </c>
      <c r="D105" s="510" t="n">
        <v>236.2</v>
      </c>
      <c r="E105" s="510" t="n">
        <v>227.9</v>
      </c>
      <c r="F105" s="510" t="n">
        <v>569.467</v>
      </c>
      <c r="G105" s="510"/>
      <c r="H105" s="510"/>
      <c r="I105" s="510"/>
      <c r="J105" s="510"/>
      <c r="K105" s="510"/>
      <c r="L105" s="510"/>
      <c r="M105" s="510"/>
      <c r="N105" s="511"/>
      <c r="O105" s="513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8"/>
      <c r="BY105" s="98"/>
      <c r="BZ105" s="98"/>
      <c r="CA105" s="98"/>
      <c r="CB105" s="98"/>
      <c r="CC105" s="98"/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98"/>
      <c r="FK105" s="98"/>
      <c r="FL105" s="98"/>
      <c r="FM105" s="98"/>
      <c r="FN105" s="98"/>
      <c r="FO105" s="98"/>
      <c r="FP105" s="98"/>
      <c r="FQ105" s="98"/>
      <c r="FR105" s="98"/>
      <c r="FS105" s="98"/>
      <c r="FT105" s="98"/>
      <c r="FU105" s="98"/>
      <c r="FV105" s="98"/>
      <c r="FW105" s="98"/>
      <c r="FX105" s="98"/>
      <c r="FY105" s="98"/>
      <c r="FZ105" s="98"/>
      <c r="GA105" s="98"/>
      <c r="GB105" s="98"/>
      <c r="GC105" s="98"/>
      <c r="GD105" s="98"/>
      <c r="GE105" s="98"/>
      <c r="GF105" s="98"/>
      <c r="GG105" s="98"/>
      <c r="GH105" s="98"/>
      <c r="GI105" s="98"/>
      <c r="GJ105" s="98"/>
      <c r="GK105" s="98"/>
      <c r="GL105" s="98"/>
      <c r="GM105" s="98"/>
      <c r="GN105" s="98"/>
      <c r="GO105" s="98"/>
      <c r="GP105" s="98"/>
      <c r="GQ105" s="98"/>
      <c r="GR105" s="98"/>
      <c r="GS105" s="98"/>
      <c r="GT105" s="98"/>
      <c r="GU105" s="98"/>
      <c r="GV105" s="98"/>
      <c r="GW105" s="98"/>
      <c r="GX105" s="98"/>
      <c r="GY105" s="98"/>
      <c r="GZ105" s="98"/>
      <c r="HA105" s="98"/>
      <c r="HB105" s="98"/>
      <c r="HC105" s="98"/>
      <c r="HD105" s="98"/>
      <c r="HE105" s="98"/>
      <c r="HF105" s="98"/>
      <c r="HG105" s="98"/>
      <c r="HH105" s="98"/>
      <c r="HI105" s="98"/>
      <c r="HJ105" s="98"/>
      <c r="HK105" s="98"/>
      <c r="HL105" s="98"/>
      <c r="HM105" s="98"/>
      <c r="HN105" s="98"/>
      <c r="HO105" s="98"/>
      <c r="HP105" s="98"/>
      <c r="HQ105" s="98"/>
      <c r="HR105" s="98"/>
      <c r="HS105" s="98"/>
      <c r="HT105" s="98"/>
      <c r="HU105" s="98"/>
      <c r="HV105" s="98"/>
      <c r="HW105" s="98"/>
      <c r="HX105" s="98"/>
      <c r="HY105" s="98"/>
      <c r="HZ105" s="98"/>
      <c r="IA105" s="98"/>
      <c r="IB105" s="98"/>
      <c r="IC105" s="98"/>
      <c r="ID105" s="98"/>
      <c r="IE105" s="98"/>
      <c r="IF105" s="98"/>
      <c r="IG105" s="98"/>
      <c r="IH105" s="98"/>
      <c r="II105" s="98"/>
      <c r="IJ105" s="98"/>
      <c r="IK105" s="98"/>
      <c r="IL105" s="98"/>
      <c r="IM105" s="98"/>
      <c r="IN105" s="98"/>
      <c r="IO105" s="98"/>
      <c r="IP105" s="98"/>
      <c r="IQ105" s="98"/>
      <c r="IR105" s="98"/>
      <c r="IS105" s="98"/>
      <c r="IT105" s="98"/>
      <c r="IU105" s="98"/>
      <c r="IV105" s="98"/>
      <c r="IW105" s="98"/>
    </row>
    <row r="106" customFormat="false" ht="12.75" hidden="false" customHeight="true" outlineLevel="0" collapsed="false">
      <c r="A106" s="98"/>
      <c r="B106" s="294" t="s">
        <v>472</v>
      </c>
      <c r="C106" s="535" t="n">
        <v>199.2</v>
      </c>
      <c r="D106" s="135" t="n">
        <v>206.6</v>
      </c>
      <c r="E106" s="135" t="n">
        <v>219.9</v>
      </c>
      <c r="F106" s="135" t="n">
        <v>318.968</v>
      </c>
      <c r="G106" s="135"/>
      <c r="H106" s="135"/>
      <c r="I106" s="135"/>
      <c r="J106" s="135"/>
      <c r="K106" s="135"/>
      <c r="L106" s="135"/>
      <c r="M106" s="135"/>
      <c r="N106" s="536"/>
      <c r="O106" s="513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8"/>
      <c r="FN106" s="98"/>
      <c r="FO106" s="98"/>
      <c r="FP106" s="98"/>
      <c r="FQ106" s="98"/>
      <c r="FR106" s="98"/>
      <c r="FS106" s="98"/>
      <c r="FT106" s="98"/>
      <c r="FU106" s="98"/>
      <c r="FV106" s="98"/>
      <c r="FW106" s="98"/>
      <c r="FX106" s="98"/>
      <c r="FY106" s="98"/>
      <c r="FZ106" s="98"/>
      <c r="GA106" s="98"/>
      <c r="GB106" s="98"/>
      <c r="GC106" s="98"/>
      <c r="GD106" s="98"/>
      <c r="GE106" s="98"/>
      <c r="GF106" s="98"/>
      <c r="GG106" s="98"/>
      <c r="GH106" s="98"/>
      <c r="GI106" s="98"/>
      <c r="GJ106" s="98"/>
      <c r="GK106" s="98"/>
      <c r="GL106" s="98"/>
      <c r="GM106" s="98"/>
      <c r="GN106" s="98"/>
      <c r="GO106" s="98"/>
      <c r="GP106" s="98"/>
      <c r="GQ106" s="98"/>
      <c r="GR106" s="98"/>
      <c r="GS106" s="98"/>
      <c r="GT106" s="98"/>
      <c r="GU106" s="98"/>
      <c r="GV106" s="98"/>
      <c r="GW106" s="98"/>
      <c r="GX106" s="98"/>
      <c r="GY106" s="98"/>
      <c r="GZ106" s="98"/>
      <c r="HA106" s="98"/>
      <c r="HB106" s="98"/>
      <c r="HC106" s="98"/>
      <c r="HD106" s="98"/>
      <c r="HE106" s="98"/>
      <c r="HF106" s="98"/>
      <c r="HG106" s="98"/>
      <c r="HH106" s="98"/>
      <c r="HI106" s="98"/>
      <c r="HJ106" s="98"/>
      <c r="HK106" s="98"/>
      <c r="HL106" s="98"/>
      <c r="HM106" s="98"/>
      <c r="HN106" s="98"/>
      <c r="HO106" s="98"/>
      <c r="HP106" s="98"/>
      <c r="HQ106" s="98"/>
      <c r="HR106" s="98"/>
      <c r="HS106" s="98"/>
      <c r="HT106" s="98"/>
      <c r="HU106" s="98"/>
      <c r="HV106" s="98"/>
      <c r="HW106" s="98"/>
      <c r="HX106" s="98"/>
      <c r="HY106" s="98"/>
      <c r="HZ106" s="98"/>
      <c r="IA106" s="98"/>
      <c r="IB106" s="98"/>
      <c r="IC106" s="98"/>
      <c r="ID106" s="98"/>
      <c r="IE106" s="98"/>
      <c r="IF106" s="98"/>
      <c r="IG106" s="98"/>
      <c r="IH106" s="98"/>
      <c r="II106" s="98"/>
      <c r="IJ106" s="98"/>
      <c r="IK106" s="98"/>
      <c r="IL106" s="98"/>
      <c r="IM106" s="98"/>
      <c r="IN106" s="98"/>
      <c r="IO106" s="98"/>
      <c r="IP106" s="98"/>
      <c r="IQ106" s="98"/>
      <c r="IR106" s="98"/>
      <c r="IS106" s="98"/>
      <c r="IT106" s="98"/>
      <c r="IU106" s="98"/>
      <c r="IV106" s="98"/>
      <c r="IW106" s="98"/>
    </row>
    <row r="107" customFormat="false" ht="12.75" hidden="false" customHeight="true" outlineLevel="0" collapsed="false">
      <c r="B107" s="294" t="s">
        <v>118</v>
      </c>
      <c r="C107" s="526" t="n">
        <f aca="false">C106/C105</f>
        <v>0.819753086419753</v>
      </c>
      <c r="D107" s="527" t="n">
        <f aca="false">D106/D105</f>
        <v>0.874682472480948</v>
      </c>
      <c r="E107" s="527" t="n">
        <f aca="false">E106/E105</f>
        <v>0.964896884598508</v>
      </c>
      <c r="F107" s="527" t="n">
        <f aca="false">F106/F105</f>
        <v>0.560116740741781</v>
      </c>
      <c r="G107" s="527" t="e">
        <f aca="false">G106/G105</f>
        <v>#DIV/0!</v>
      </c>
      <c r="H107" s="527" t="e">
        <f aca="false">H106/H105</f>
        <v>#DIV/0!</v>
      </c>
      <c r="I107" s="527" t="e">
        <f aca="false">I106/I105</f>
        <v>#DIV/0!</v>
      </c>
      <c r="J107" s="527" t="e">
        <f aca="false">J106/J105</f>
        <v>#DIV/0!</v>
      </c>
      <c r="K107" s="527" t="e">
        <f aca="false">K106/K105</f>
        <v>#DIV/0!</v>
      </c>
      <c r="L107" s="527" t="e">
        <f aca="false">L106/L105</f>
        <v>#DIV/0!</v>
      </c>
      <c r="M107" s="527" t="e">
        <f aca="false">M106/M105</f>
        <v>#DIV/0!</v>
      </c>
      <c r="N107" s="525" t="e">
        <f aca="false">N106/N105</f>
        <v>#DIV/0!</v>
      </c>
      <c r="O107" s="516"/>
    </row>
    <row r="108" customFormat="false" ht="12.75" hidden="false" customHeight="true" outlineLevel="0" collapsed="false">
      <c r="B108" s="499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333"/>
    </row>
    <row r="109" customFormat="false" ht="12.75" hidden="false" customHeight="true" outlineLevel="0" collapsed="false">
      <c r="A109" s="98" t="n">
        <v>1999</v>
      </c>
      <c r="B109" s="501" t="s">
        <v>471</v>
      </c>
      <c r="C109" s="509" t="n">
        <v>277.581</v>
      </c>
      <c r="D109" s="510" t="n">
        <v>276.5</v>
      </c>
      <c r="E109" s="510" t="n">
        <v>261.142</v>
      </c>
      <c r="F109" s="510" t="n">
        <v>225.5</v>
      </c>
      <c r="G109" s="510" t="n">
        <v>207.587</v>
      </c>
      <c r="H109" s="510" t="n">
        <v>213.648</v>
      </c>
      <c r="I109" s="510" t="n">
        <v>223.9</v>
      </c>
      <c r="J109" s="510" t="n">
        <v>254.9</v>
      </c>
      <c r="K109" s="510" t="n">
        <v>220.6</v>
      </c>
      <c r="L109" s="510" t="n">
        <v>260</v>
      </c>
      <c r="M109" s="510" t="n">
        <v>260</v>
      </c>
      <c r="N109" s="511" t="n">
        <v>242.456</v>
      </c>
      <c r="O109" s="513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  <c r="DA109" s="98"/>
      <c r="DB109" s="98"/>
      <c r="DC109" s="98"/>
      <c r="DD109" s="98"/>
      <c r="DE109" s="98"/>
      <c r="DF109" s="98"/>
      <c r="DG109" s="98"/>
      <c r="DH109" s="98"/>
      <c r="DI109" s="98"/>
      <c r="DJ109" s="98"/>
      <c r="DK109" s="98"/>
      <c r="DL109" s="98"/>
      <c r="DM109" s="98"/>
      <c r="DN109" s="98"/>
      <c r="DO109" s="98"/>
      <c r="DP109" s="98"/>
      <c r="DQ109" s="98"/>
      <c r="DR109" s="98"/>
      <c r="DS109" s="98"/>
      <c r="DT109" s="98"/>
      <c r="DU109" s="98"/>
      <c r="DV109" s="98"/>
      <c r="DW109" s="98"/>
      <c r="DX109" s="98"/>
      <c r="DY109" s="98"/>
      <c r="DZ109" s="98"/>
      <c r="EA109" s="98"/>
      <c r="EB109" s="98"/>
      <c r="EC109" s="98"/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8"/>
      <c r="EO109" s="98"/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8"/>
      <c r="FF109" s="98"/>
      <c r="FG109" s="98"/>
      <c r="FH109" s="98"/>
      <c r="FI109" s="98"/>
      <c r="FJ109" s="98"/>
      <c r="FK109" s="98"/>
      <c r="FL109" s="98"/>
      <c r="FM109" s="98"/>
      <c r="FN109" s="98"/>
      <c r="FO109" s="98"/>
      <c r="FP109" s="98"/>
      <c r="FQ109" s="98"/>
      <c r="FR109" s="98"/>
      <c r="FS109" s="98"/>
      <c r="FT109" s="98"/>
      <c r="FU109" s="98"/>
      <c r="FV109" s="98"/>
      <c r="FW109" s="98"/>
      <c r="FX109" s="98"/>
      <c r="FY109" s="98"/>
      <c r="FZ109" s="98"/>
      <c r="GA109" s="98"/>
      <c r="GB109" s="98"/>
      <c r="GC109" s="98"/>
      <c r="GD109" s="98"/>
      <c r="GE109" s="98"/>
      <c r="GF109" s="98"/>
      <c r="GG109" s="98"/>
      <c r="GH109" s="98"/>
      <c r="GI109" s="98"/>
      <c r="GJ109" s="98"/>
      <c r="GK109" s="98"/>
      <c r="GL109" s="98"/>
      <c r="GM109" s="98"/>
      <c r="GN109" s="98"/>
      <c r="GO109" s="98"/>
      <c r="GP109" s="98"/>
      <c r="GQ109" s="98"/>
      <c r="GR109" s="98"/>
      <c r="GS109" s="98"/>
      <c r="GT109" s="98"/>
      <c r="GU109" s="98"/>
      <c r="GV109" s="98"/>
      <c r="GW109" s="98"/>
      <c r="GX109" s="98"/>
      <c r="GY109" s="98"/>
      <c r="GZ109" s="98"/>
      <c r="HA109" s="98"/>
      <c r="HB109" s="98"/>
      <c r="HC109" s="98"/>
      <c r="HD109" s="98"/>
      <c r="HE109" s="98"/>
      <c r="HF109" s="98"/>
      <c r="HG109" s="98"/>
      <c r="HH109" s="98"/>
      <c r="HI109" s="98"/>
      <c r="HJ109" s="98"/>
      <c r="HK109" s="98"/>
      <c r="HL109" s="98"/>
      <c r="HM109" s="98"/>
      <c r="HN109" s="98"/>
      <c r="HO109" s="98"/>
      <c r="HP109" s="98"/>
      <c r="HQ109" s="98"/>
      <c r="HR109" s="98"/>
      <c r="HS109" s="98"/>
      <c r="HT109" s="98"/>
      <c r="HU109" s="98"/>
      <c r="HV109" s="98"/>
      <c r="HW109" s="98"/>
      <c r="HX109" s="98"/>
      <c r="HY109" s="98"/>
      <c r="HZ109" s="98"/>
      <c r="IA109" s="98"/>
      <c r="IB109" s="98"/>
      <c r="IC109" s="98"/>
      <c r="ID109" s="98"/>
      <c r="IE109" s="98"/>
      <c r="IF109" s="98"/>
      <c r="IG109" s="98"/>
      <c r="IH109" s="98"/>
      <c r="II109" s="98"/>
      <c r="IJ109" s="98"/>
      <c r="IK109" s="98"/>
      <c r="IL109" s="98"/>
      <c r="IM109" s="98"/>
      <c r="IN109" s="98"/>
      <c r="IO109" s="98"/>
      <c r="IP109" s="98"/>
      <c r="IQ109" s="98"/>
      <c r="IR109" s="98"/>
      <c r="IS109" s="98"/>
      <c r="IT109" s="98"/>
      <c r="IU109" s="98"/>
      <c r="IV109" s="98"/>
      <c r="IW109" s="98"/>
    </row>
    <row r="110" customFormat="false" ht="12.75" hidden="false" customHeight="true" outlineLevel="0" collapsed="false">
      <c r="A110" s="98"/>
      <c r="B110" s="294" t="s">
        <v>472</v>
      </c>
      <c r="C110" s="535" t="n">
        <v>137.325</v>
      </c>
      <c r="D110" s="135" t="n">
        <v>110.4</v>
      </c>
      <c r="E110" s="135" t="n">
        <v>188.571</v>
      </c>
      <c r="F110" s="135" t="n">
        <v>292.6</v>
      </c>
      <c r="G110" s="135" t="n">
        <v>253.307</v>
      </c>
      <c r="H110" s="135" t="n">
        <v>240.215</v>
      </c>
      <c r="I110" s="135" t="n">
        <v>234.2</v>
      </c>
      <c r="J110" s="135" t="n">
        <v>361.8</v>
      </c>
      <c r="K110" s="135" t="n">
        <v>213.1</v>
      </c>
      <c r="L110" s="135" t="n">
        <v>53</v>
      </c>
      <c r="M110" s="135" t="n">
        <v>58</v>
      </c>
      <c r="N110" s="536" t="n">
        <v>140.275</v>
      </c>
      <c r="O110" s="513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  <c r="BZ110" s="98"/>
      <c r="CA110" s="98"/>
      <c r="CB110" s="98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  <c r="DA110" s="98"/>
      <c r="DB110" s="98"/>
      <c r="DC110" s="98"/>
      <c r="DD110" s="98"/>
      <c r="DE110" s="98"/>
      <c r="DF110" s="98"/>
      <c r="DG110" s="98"/>
      <c r="DH110" s="98"/>
      <c r="DI110" s="98"/>
      <c r="DJ110" s="98"/>
      <c r="DK110" s="98"/>
      <c r="DL110" s="98"/>
      <c r="DM110" s="98"/>
      <c r="DN110" s="98"/>
      <c r="DO110" s="98"/>
      <c r="DP110" s="98"/>
      <c r="DQ110" s="98"/>
      <c r="DR110" s="98"/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98"/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8"/>
      <c r="EO110" s="98"/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8"/>
      <c r="FF110" s="98"/>
      <c r="FG110" s="98"/>
      <c r="FH110" s="98"/>
      <c r="FI110" s="98"/>
      <c r="FJ110" s="98"/>
      <c r="FK110" s="98"/>
      <c r="FL110" s="98"/>
      <c r="FM110" s="98"/>
      <c r="FN110" s="98"/>
      <c r="FO110" s="98"/>
      <c r="FP110" s="98"/>
      <c r="FQ110" s="98"/>
      <c r="FR110" s="98"/>
      <c r="FS110" s="98"/>
      <c r="FT110" s="98"/>
      <c r="FU110" s="98"/>
      <c r="FV110" s="98"/>
      <c r="FW110" s="98"/>
      <c r="FX110" s="98"/>
      <c r="FY110" s="98"/>
      <c r="FZ110" s="98"/>
      <c r="GA110" s="98"/>
      <c r="GB110" s="98"/>
      <c r="GC110" s="98"/>
      <c r="GD110" s="98"/>
      <c r="GE110" s="98"/>
      <c r="GF110" s="98"/>
      <c r="GG110" s="98"/>
      <c r="GH110" s="98"/>
      <c r="GI110" s="98"/>
      <c r="GJ110" s="98"/>
      <c r="GK110" s="98"/>
      <c r="GL110" s="98"/>
      <c r="GM110" s="98"/>
      <c r="GN110" s="98"/>
      <c r="GO110" s="98"/>
      <c r="GP110" s="98"/>
      <c r="GQ110" s="98"/>
      <c r="GR110" s="98"/>
      <c r="GS110" s="98"/>
      <c r="GT110" s="98"/>
      <c r="GU110" s="98"/>
      <c r="GV110" s="98"/>
      <c r="GW110" s="98"/>
      <c r="GX110" s="98"/>
      <c r="GY110" s="98"/>
      <c r="GZ110" s="98"/>
      <c r="HA110" s="98"/>
      <c r="HB110" s="98"/>
      <c r="HC110" s="98"/>
      <c r="HD110" s="98"/>
      <c r="HE110" s="98"/>
      <c r="HF110" s="98"/>
      <c r="HG110" s="98"/>
      <c r="HH110" s="98"/>
      <c r="HI110" s="98"/>
      <c r="HJ110" s="98"/>
      <c r="HK110" s="98"/>
      <c r="HL110" s="98"/>
      <c r="HM110" s="98"/>
      <c r="HN110" s="98"/>
      <c r="HO110" s="98"/>
      <c r="HP110" s="98"/>
      <c r="HQ110" s="98"/>
      <c r="HR110" s="98"/>
      <c r="HS110" s="98"/>
      <c r="HT110" s="98"/>
      <c r="HU110" s="98"/>
      <c r="HV110" s="98"/>
      <c r="HW110" s="98"/>
      <c r="HX110" s="98"/>
      <c r="HY110" s="98"/>
      <c r="HZ110" s="98"/>
      <c r="IA110" s="98"/>
      <c r="IB110" s="98"/>
      <c r="IC110" s="98"/>
      <c r="ID110" s="98"/>
      <c r="IE110" s="98"/>
      <c r="IF110" s="98"/>
      <c r="IG110" s="98"/>
      <c r="IH110" s="98"/>
      <c r="II110" s="98"/>
      <c r="IJ110" s="98"/>
      <c r="IK110" s="98"/>
      <c r="IL110" s="98"/>
      <c r="IM110" s="98"/>
      <c r="IN110" s="98"/>
      <c r="IO110" s="98"/>
      <c r="IP110" s="98"/>
      <c r="IQ110" s="98"/>
      <c r="IR110" s="98"/>
      <c r="IS110" s="98"/>
      <c r="IT110" s="98"/>
      <c r="IU110" s="98"/>
      <c r="IV110" s="98"/>
      <c r="IW110" s="98"/>
    </row>
    <row r="111" customFormat="false" ht="12.75" hidden="false" customHeight="true" outlineLevel="0" collapsed="false">
      <c r="B111" s="294" t="s">
        <v>118</v>
      </c>
      <c r="C111" s="526" t="n">
        <f aca="false">C110/C109</f>
        <v>0.494720459973845</v>
      </c>
      <c r="D111" s="527" t="n">
        <f aca="false">D110/D109</f>
        <v>0.399276672694394</v>
      </c>
      <c r="E111" s="527" t="n">
        <f aca="false">E110/E109</f>
        <v>0.722101385453125</v>
      </c>
      <c r="F111" s="527" t="n">
        <f aca="false">F110/F109</f>
        <v>1.29756097560976</v>
      </c>
      <c r="G111" s="527" t="n">
        <f aca="false">G110/G109</f>
        <v>1.22024500570845</v>
      </c>
      <c r="H111" s="527" t="n">
        <f aca="false">H110/H109</f>
        <v>1.12434939713922</v>
      </c>
      <c r="I111" s="527" t="n">
        <f aca="false">I110/I109</f>
        <v>1.04600267976775</v>
      </c>
      <c r="J111" s="527" t="n">
        <f aca="false">J110/J109</f>
        <v>1.41938014907807</v>
      </c>
      <c r="K111" s="527" t="n">
        <f aca="false">K110/K109</f>
        <v>0.966001813236627</v>
      </c>
      <c r="L111" s="527" t="n">
        <f aca="false">L110/L109</f>
        <v>0.203846153846154</v>
      </c>
      <c r="M111" s="527" t="n">
        <f aca="false">M110/M109</f>
        <v>0.223076923076923</v>
      </c>
      <c r="N111" s="525" t="n">
        <f aca="false">N110/N109</f>
        <v>0.578558583825519</v>
      </c>
      <c r="O111" s="516"/>
    </row>
    <row r="112" customFormat="false" ht="12.75" hidden="false" customHeight="true" outlineLevel="0" collapsed="false">
      <c r="O112" s="333"/>
    </row>
    <row r="113" customFormat="false" ht="12.75" hidden="false" customHeight="true" outlineLevel="0" collapsed="false">
      <c r="A113" s="294" t="n">
        <v>1998</v>
      </c>
      <c r="B113" s="501" t="s">
        <v>471</v>
      </c>
      <c r="C113" s="328" t="n">
        <v>316.7</v>
      </c>
      <c r="D113" s="329" t="n">
        <v>335</v>
      </c>
      <c r="E113" s="329" t="n">
        <v>264.6</v>
      </c>
      <c r="F113" s="329" t="n">
        <v>306</v>
      </c>
      <c r="G113" s="329" t="n">
        <v>213.4</v>
      </c>
      <c r="H113" s="329" t="n">
        <v>282.5</v>
      </c>
      <c r="I113" s="329" t="n">
        <v>337</v>
      </c>
      <c r="J113" s="329" t="n">
        <v>286.7</v>
      </c>
      <c r="K113" s="329" t="n">
        <v>287.8</v>
      </c>
      <c r="L113" s="329" t="n">
        <v>306.9</v>
      </c>
      <c r="M113" s="329" t="n">
        <v>285.3</v>
      </c>
      <c r="N113" s="331" t="n">
        <v>86.2</v>
      </c>
      <c r="O113" s="513"/>
    </row>
    <row r="114" customFormat="false" ht="12.75" hidden="false" customHeight="true" outlineLevel="0" collapsed="false">
      <c r="B114" s="294" t="s">
        <v>472</v>
      </c>
      <c r="C114" s="332" t="n">
        <v>145.5</v>
      </c>
      <c r="D114" s="333" t="n">
        <v>190.8</v>
      </c>
      <c r="E114" s="333" t="n">
        <v>173.2</v>
      </c>
      <c r="F114" s="333" t="n">
        <v>139.5</v>
      </c>
      <c r="G114" s="333" t="n">
        <v>163.8</v>
      </c>
      <c r="H114" s="333" t="n">
        <v>296.5</v>
      </c>
      <c r="I114" s="333" t="n">
        <v>266.8</v>
      </c>
      <c r="J114" s="333" t="n">
        <v>154.6</v>
      </c>
      <c r="K114" s="333" t="n">
        <v>198</v>
      </c>
      <c r="L114" s="333" t="n">
        <v>170.9</v>
      </c>
      <c r="M114" s="333" t="n">
        <v>130.6</v>
      </c>
      <c r="N114" s="337" t="n">
        <v>124.3</v>
      </c>
      <c r="O114" s="513"/>
    </row>
    <row r="115" customFormat="false" ht="12.75" hidden="false" customHeight="true" outlineLevel="0" collapsed="false">
      <c r="B115" s="294" t="s">
        <v>118</v>
      </c>
      <c r="C115" s="526" t="n">
        <f aca="false">C114/C113</f>
        <v>0.459425323650142</v>
      </c>
      <c r="D115" s="527" t="n">
        <f aca="false">D114/D113</f>
        <v>0.56955223880597</v>
      </c>
      <c r="E115" s="527" t="n">
        <f aca="false">E114/E113</f>
        <v>0.654572940287226</v>
      </c>
      <c r="F115" s="527" t="n">
        <f aca="false">F114/F113</f>
        <v>0.455882352941176</v>
      </c>
      <c r="G115" s="527" t="n">
        <f aca="false">G114/G113</f>
        <v>0.767572633552015</v>
      </c>
      <c r="H115" s="527" t="n">
        <f aca="false">H114/H113</f>
        <v>1.04955752212389</v>
      </c>
      <c r="I115" s="527" t="n">
        <f aca="false">I114/I113</f>
        <v>0.791691394658754</v>
      </c>
      <c r="J115" s="527" t="n">
        <f aca="false">J114/J113</f>
        <v>0.539239623299616</v>
      </c>
      <c r="K115" s="527" t="n">
        <f aca="false">K114/K113</f>
        <v>0.687977762334955</v>
      </c>
      <c r="L115" s="527" t="n">
        <f aca="false">L114/L113</f>
        <v>0.556858911697622</v>
      </c>
      <c r="M115" s="527" t="n">
        <f aca="false">M114/M113</f>
        <v>0.4577637574483</v>
      </c>
      <c r="N115" s="525" t="n">
        <f aca="false">N114/N113</f>
        <v>1.44199535962877</v>
      </c>
      <c r="O115" s="516"/>
    </row>
    <row r="116" customFormat="false" ht="12.75" hidden="false" customHeight="true" outlineLevel="0" collapsed="false">
      <c r="C116" s="516"/>
      <c r="D116" s="516"/>
      <c r="E116" s="516"/>
      <c r="F116" s="516"/>
      <c r="G116" s="516"/>
      <c r="H116" s="516"/>
      <c r="I116" s="516"/>
      <c r="J116" s="516"/>
      <c r="K116" s="516"/>
      <c r="L116" s="516"/>
      <c r="M116" s="516"/>
      <c r="N116" s="516"/>
      <c r="O116" s="516"/>
    </row>
    <row r="117" customFormat="false" ht="12.75" hidden="false" customHeight="true" outlineLevel="0" collapsed="false">
      <c r="A117" s="294" t="n">
        <v>1997</v>
      </c>
      <c r="B117" s="501" t="s">
        <v>471</v>
      </c>
      <c r="C117" s="528" t="n">
        <v>353.8</v>
      </c>
      <c r="D117" s="529" t="n">
        <v>373.3</v>
      </c>
      <c r="E117" s="529" t="n">
        <v>346.7</v>
      </c>
      <c r="F117" s="529" t="n">
        <v>356.1</v>
      </c>
      <c r="G117" s="529" t="n">
        <v>244.3</v>
      </c>
      <c r="H117" s="529" t="n">
        <v>344.4</v>
      </c>
      <c r="I117" s="529" t="n">
        <v>312.6</v>
      </c>
      <c r="J117" s="529" t="n">
        <v>246.4</v>
      </c>
      <c r="K117" s="529" t="n">
        <v>337.2</v>
      </c>
      <c r="L117" s="529" t="n">
        <v>421.1</v>
      </c>
      <c r="M117" s="529" t="n">
        <v>391.6</v>
      </c>
      <c r="N117" s="530" t="n">
        <v>350.8</v>
      </c>
      <c r="O117" s="513"/>
      <c r="P117" s="360"/>
      <c r="Q117" s="360"/>
      <c r="R117" s="360"/>
      <c r="S117" s="360"/>
      <c r="T117" s="360"/>
    </row>
    <row r="118" customFormat="false" ht="12.75" hidden="false" customHeight="true" outlineLevel="0" collapsed="false">
      <c r="B118" s="294" t="s">
        <v>472</v>
      </c>
      <c r="C118" s="531" t="n">
        <v>226.4</v>
      </c>
      <c r="D118" s="360" t="n">
        <v>296</v>
      </c>
      <c r="E118" s="360" t="n">
        <v>269.3</v>
      </c>
      <c r="F118" s="360" t="n">
        <v>211.2</v>
      </c>
      <c r="G118" s="360" t="n">
        <v>151.5</v>
      </c>
      <c r="H118" s="360" t="n">
        <v>232.2</v>
      </c>
      <c r="I118" s="360" t="n">
        <v>192.9</v>
      </c>
      <c r="J118" s="360" t="n">
        <v>162.3</v>
      </c>
      <c r="K118" s="360" t="n">
        <v>203.7</v>
      </c>
      <c r="L118" s="360" t="n">
        <v>302.9</v>
      </c>
      <c r="M118" s="360" t="n">
        <v>320.8</v>
      </c>
      <c r="N118" s="532" t="n">
        <v>243.8</v>
      </c>
      <c r="O118" s="513"/>
      <c r="P118" s="360"/>
      <c r="Q118" s="360"/>
      <c r="R118" s="360"/>
      <c r="S118" s="360"/>
      <c r="T118" s="360"/>
    </row>
    <row r="119" customFormat="false" ht="12.75" hidden="false" customHeight="true" outlineLevel="0" collapsed="false">
      <c r="B119" s="294" t="s">
        <v>118</v>
      </c>
      <c r="C119" s="526" t="n">
        <f aca="false">C118/C117</f>
        <v>0.639909553420011</v>
      </c>
      <c r="D119" s="527" t="n">
        <f aca="false">D118/D117</f>
        <v>0.792927939994642</v>
      </c>
      <c r="E119" s="527" t="n">
        <f aca="false">E118/E117</f>
        <v>0.776752235361985</v>
      </c>
      <c r="F119" s="527" t="n">
        <f aca="false">F118/F117</f>
        <v>0.593091828138163</v>
      </c>
      <c r="G119" s="527" t="n">
        <f aca="false">G118/G117</f>
        <v>0.620139173147769</v>
      </c>
      <c r="H119" s="527" t="n">
        <f aca="false">H118/H117</f>
        <v>0.674216027874565</v>
      </c>
      <c r="I119" s="527" t="n">
        <f aca="false">I118/I117</f>
        <v>0.617082533589251</v>
      </c>
      <c r="J119" s="527" t="n">
        <f aca="false">J118/J117</f>
        <v>0.658685064935065</v>
      </c>
      <c r="K119" s="527" t="n">
        <f aca="false">K118/K117</f>
        <v>0.604092526690392</v>
      </c>
      <c r="L119" s="527" t="n">
        <f aca="false">L118/L117</f>
        <v>0.719306578009974</v>
      </c>
      <c r="M119" s="527" t="n">
        <f aca="false">M118/M117</f>
        <v>0.819203268641471</v>
      </c>
      <c r="N119" s="525" t="n">
        <f aca="false">N118/N117</f>
        <v>0.694982896237172</v>
      </c>
      <c r="O119" s="516"/>
    </row>
    <row r="120" customFormat="false" ht="12.75" hidden="false" customHeight="true" outlineLevel="0" collapsed="false">
      <c r="O120" s="333"/>
    </row>
    <row r="121" customFormat="false" ht="12.75" hidden="false" customHeight="true" outlineLevel="0" collapsed="false">
      <c r="A121" s="496"/>
      <c r="B121" s="497" t="s">
        <v>41</v>
      </c>
      <c r="C121" s="498"/>
      <c r="D121" s="498"/>
      <c r="E121" s="498"/>
      <c r="F121" s="498"/>
      <c r="G121" s="498"/>
      <c r="H121" s="498"/>
      <c r="I121" s="498"/>
      <c r="J121" s="498"/>
      <c r="K121" s="498"/>
      <c r="L121" s="498"/>
      <c r="M121" s="498"/>
      <c r="N121" s="498"/>
      <c r="O121" s="524"/>
      <c r="P121" s="496"/>
      <c r="Q121" s="496"/>
      <c r="R121" s="496"/>
      <c r="S121" s="496"/>
      <c r="T121" s="496"/>
      <c r="U121" s="496"/>
      <c r="V121" s="496"/>
      <c r="W121" s="496"/>
      <c r="X121" s="496"/>
      <c r="Y121" s="496"/>
      <c r="Z121" s="496"/>
      <c r="AA121" s="496"/>
      <c r="AB121" s="496"/>
      <c r="AC121" s="496"/>
      <c r="AD121" s="496"/>
      <c r="AE121" s="496"/>
      <c r="AF121" s="496"/>
      <c r="AG121" s="496"/>
      <c r="AH121" s="496"/>
      <c r="AI121" s="496"/>
      <c r="AJ121" s="496"/>
      <c r="AK121" s="496"/>
      <c r="AL121" s="496"/>
      <c r="AM121" s="496"/>
      <c r="AN121" s="496"/>
      <c r="AO121" s="496"/>
      <c r="AP121" s="496"/>
      <c r="AQ121" s="496"/>
      <c r="AR121" s="496"/>
      <c r="AS121" s="496"/>
      <c r="AT121" s="496"/>
      <c r="AU121" s="496"/>
      <c r="AV121" s="496"/>
      <c r="AW121" s="496"/>
      <c r="AX121" s="496"/>
      <c r="AY121" s="496"/>
      <c r="AZ121" s="496"/>
      <c r="BA121" s="496"/>
      <c r="BB121" s="496"/>
      <c r="BC121" s="496"/>
      <c r="BD121" s="496"/>
      <c r="BE121" s="496"/>
      <c r="BF121" s="496"/>
      <c r="BG121" s="496"/>
      <c r="BH121" s="496"/>
      <c r="BI121" s="496"/>
      <c r="BJ121" s="496"/>
      <c r="BK121" s="496"/>
      <c r="BL121" s="496"/>
      <c r="BM121" s="496"/>
      <c r="BN121" s="496"/>
      <c r="BO121" s="496"/>
      <c r="BP121" s="496"/>
      <c r="BQ121" s="496"/>
      <c r="BR121" s="496"/>
      <c r="BS121" s="496"/>
      <c r="BT121" s="496"/>
      <c r="BU121" s="496"/>
      <c r="BV121" s="496"/>
      <c r="BW121" s="496"/>
      <c r="BX121" s="496"/>
      <c r="BY121" s="496"/>
      <c r="BZ121" s="496"/>
      <c r="CA121" s="496"/>
      <c r="CB121" s="496"/>
      <c r="CC121" s="496"/>
      <c r="CD121" s="496"/>
      <c r="CE121" s="496"/>
      <c r="CF121" s="496"/>
      <c r="CG121" s="496"/>
      <c r="CH121" s="496"/>
      <c r="CI121" s="496"/>
      <c r="CJ121" s="496"/>
      <c r="CK121" s="496"/>
      <c r="CL121" s="496"/>
      <c r="CM121" s="496"/>
      <c r="CN121" s="496"/>
      <c r="CO121" s="496"/>
      <c r="CP121" s="496"/>
      <c r="CQ121" s="496"/>
      <c r="CR121" s="496"/>
      <c r="CS121" s="496"/>
      <c r="CT121" s="496"/>
      <c r="CU121" s="496"/>
      <c r="CV121" s="496"/>
      <c r="CW121" s="496"/>
      <c r="CX121" s="496"/>
      <c r="CY121" s="496"/>
      <c r="CZ121" s="496"/>
      <c r="DA121" s="496"/>
      <c r="DB121" s="496"/>
      <c r="DC121" s="496"/>
      <c r="DD121" s="496"/>
      <c r="DE121" s="496"/>
      <c r="DF121" s="496"/>
      <c r="DG121" s="496"/>
      <c r="DH121" s="496"/>
      <c r="DI121" s="496"/>
      <c r="DJ121" s="496"/>
      <c r="DK121" s="496"/>
      <c r="DL121" s="496"/>
      <c r="DM121" s="496"/>
      <c r="DN121" s="496"/>
      <c r="DO121" s="496"/>
      <c r="DP121" s="496"/>
      <c r="DQ121" s="496"/>
      <c r="DR121" s="496"/>
      <c r="DS121" s="496"/>
      <c r="DT121" s="496"/>
      <c r="DU121" s="496"/>
      <c r="DV121" s="496"/>
      <c r="DW121" s="496"/>
      <c r="DX121" s="496"/>
      <c r="DY121" s="496"/>
      <c r="DZ121" s="496"/>
      <c r="EA121" s="496"/>
      <c r="EB121" s="496"/>
      <c r="EC121" s="496"/>
      <c r="ED121" s="496"/>
      <c r="EE121" s="496"/>
      <c r="EF121" s="496"/>
      <c r="EG121" s="496"/>
      <c r="EH121" s="496"/>
      <c r="EI121" s="496"/>
      <c r="EJ121" s="496"/>
      <c r="EK121" s="496"/>
      <c r="EL121" s="496"/>
      <c r="EM121" s="496"/>
      <c r="EN121" s="496"/>
      <c r="EO121" s="496"/>
      <c r="EP121" s="496"/>
      <c r="EQ121" s="496"/>
      <c r="ER121" s="496"/>
      <c r="ES121" s="496"/>
      <c r="ET121" s="496"/>
      <c r="EU121" s="496"/>
      <c r="EV121" s="496"/>
      <c r="EW121" s="496"/>
      <c r="EX121" s="496"/>
      <c r="EY121" s="496"/>
      <c r="EZ121" s="496"/>
      <c r="FA121" s="496"/>
      <c r="FB121" s="496"/>
      <c r="FC121" s="496"/>
      <c r="FD121" s="496"/>
      <c r="FE121" s="496"/>
      <c r="FF121" s="496"/>
      <c r="FG121" s="496"/>
      <c r="FH121" s="496"/>
      <c r="FI121" s="496"/>
      <c r="FJ121" s="496"/>
      <c r="FK121" s="496"/>
      <c r="FL121" s="496"/>
      <c r="FM121" s="496"/>
      <c r="FN121" s="496"/>
      <c r="FO121" s="496"/>
      <c r="FP121" s="496"/>
      <c r="FQ121" s="496"/>
      <c r="FR121" s="496"/>
      <c r="FS121" s="496"/>
      <c r="FT121" s="496"/>
      <c r="FU121" s="496"/>
      <c r="FV121" s="496"/>
      <c r="FW121" s="496"/>
      <c r="FX121" s="496"/>
      <c r="FY121" s="496"/>
      <c r="FZ121" s="496"/>
      <c r="GA121" s="496"/>
      <c r="GB121" s="496"/>
      <c r="GC121" s="496"/>
      <c r="GD121" s="496"/>
      <c r="GE121" s="496"/>
      <c r="GF121" s="496"/>
      <c r="GG121" s="496"/>
      <c r="GH121" s="496"/>
      <c r="GI121" s="496"/>
      <c r="GJ121" s="496"/>
      <c r="GK121" s="496"/>
      <c r="GL121" s="496"/>
      <c r="GM121" s="496"/>
      <c r="GN121" s="496"/>
      <c r="GO121" s="496"/>
      <c r="GP121" s="496"/>
      <c r="GQ121" s="496"/>
      <c r="GR121" s="496"/>
      <c r="GS121" s="496"/>
      <c r="GT121" s="496"/>
      <c r="GU121" s="496"/>
      <c r="GV121" s="496"/>
      <c r="GW121" s="496"/>
      <c r="GX121" s="496"/>
      <c r="GY121" s="496"/>
      <c r="GZ121" s="496"/>
      <c r="HA121" s="496"/>
      <c r="HB121" s="496"/>
      <c r="HC121" s="496"/>
      <c r="HD121" s="496"/>
      <c r="HE121" s="496"/>
      <c r="HF121" s="496"/>
      <c r="HG121" s="496"/>
      <c r="HH121" s="496"/>
      <c r="HI121" s="496"/>
      <c r="HJ121" s="496"/>
      <c r="HK121" s="496"/>
      <c r="HL121" s="496"/>
      <c r="HM121" s="496"/>
      <c r="HN121" s="496"/>
      <c r="HO121" s="496"/>
      <c r="HP121" s="496"/>
      <c r="HQ121" s="496"/>
      <c r="HR121" s="496"/>
      <c r="HS121" s="496"/>
      <c r="HT121" s="496"/>
      <c r="HU121" s="496"/>
      <c r="HV121" s="496"/>
      <c r="HW121" s="496"/>
      <c r="HX121" s="496"/>
      <c r="HY121" s="496"/>
      <c r="HZ121" s="496"/>
      <c r="IA121" s="496"/>
      <c r="IB121" s="496"/>
      <c r="IC121" s="496"/>
      <c r="ID121" s="496"/>
      <c r="IE121" s="496"/>
      <c r="IF121" s="496"/>
      <c r="IG121" s="496"/>
      <c r="IH121" s="496"/>
      <c r="II121" s="496"/>
      <c r="IJ121" s="496"/>
      <c r="IK121" s="496"/>
      <c r="IL121" s="496"/>
      <c r="IM121" s="496"/>
      <c r="IN121" s="496"/>
      <c r="IO121" s="496"/>
      <c r="IP121" s="496"/>
      <c r="IQ121" s="496"/>
      <c r="IR121" s="496"/>
      <c r="IS121" s="496"/>
      <c r="IT121" s="496"/>
      <c r="IU121" s="496"/>
      <c r="IV121" s="496"/>
      <c r="IW121" s="496"/>
    </row>
    <row r="122" customFormat="false" ht="12.75" hidden="false" customHeight="true" outlineLevel="0" collapsed="false">
      <c r="B122" s="499" t="s">
        <v>470</v>
      </c>
      <c r="C122" s="500" t="n">
        <f aca="false">(C125+C129+C133)/3</f>
        <v>0.438073888091822</v>
      </c>
      <c r="D122" s="500" t="n">
        <f aca="false">(D125+D129+D133)/3</f>
        <v>0.724953095684803</v>
      </c>
      <c r="E122" s="500" t="n">
        <f aca="false">(E125+E129+E133)/3</f>
        <v>0.616126923076923</v>
      </c>
      <c r="F122" s="500" t="n">
        <f aca="false">(F125+F129+F133)/3</f>
        <v>0.630500641025641</v>
      </c>
      <c r="G122" s="500" t="n">
        <f aca="false">(G129+G133)/2</f>
        <v>0.649839423076923</v>
      </c>
      <c r="H122" s="500" t="n">
        <f aca="false">(H129+H133)/2</f>
        <v>0.8207</v>
      </c>
      <c r="I122" s="500" t="n">
        <f aca="false">(I129+I133)/2</f>
        <v>0.8875</v>
      </c>
      <c r="J122" s="500" t="n">
        <f aca="false">(J129+J133)/2</f>
        <v>0.665</v>
      </c>
      <c r="K122" s="500" t="n">
        <f aca="false">(K129+K133)/2</f>
        <v>0.8025</v>
      </c>
      <c r="L122" s="500" t="n">
        <f aca="false">(L129+L133)/2</f>
        <v>0.2125</v>
      </c>
      <c r="M122" s="500" t="n">
        <f aca="false">(M129+M133)/2</f>
        <v>0.508230452674897</v>
      </c>
      <c r="N122" s="500" t="n">
        <f aca="false">(N129+N133)/2</f>
        <v>0.400031707317073</v>
      </c>
      <c r="O122" s="333"/>
    </row>
    <row r="123" customFormat="false" ht="12.75" hidden="false" customHeight="true" outlineLevel="0" collapsed="false">
      <c r="A123" s="98" t="n">
        <v>2000</v>
      </c>
      <c r="B123" s="501" t="s">
        <v>471</v>
      </c>
      <c r="C123" s="509" t="n">
        <v>40</v>
      </c>
      <c r="D123" s="510" t="n">
        <v>40</v>
      </c>
      <c r="E123" s="510" t="n">
        <v>40</v>
      </c>
      <c r="F123" s="510" t="n">
        <v>40</v>
      </c>
      <c r="G123" s="510"/>
      <c r="H123" s="510"/>
      <c r="I123" s="510"/>
      <c r="J123" s="510"/>
      <c r="K123" s="510"/>
      <c r="L123" s="510"/>
      <c r="M123" s="510"/>
      <c r="N123" s="510"/>
      <c r="O123" s="512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98"/>
      <c r="CK123" s="98"/>
      <c r="CL123" s="98"/>
      <c r="CM123" s="98"/>
      <c r="CN123" s="98"/>
      <c r="CO123" s="98"/>
      <c r="CP123" s="98"/>
      <c r="CQ123" s="98"/>
      <c r="CR123" s="98"/>
      <c r="CS123" s="98"/>
      <c r="CT123" s="98"/>
      <c r="CU123" s="98"/>
      <c r="CV123" s="98"/>
      <c r="CW123" s="98"/>
      <c r="CX123" s="98"/>
      <c r="CY123" s="98"/>
      <c r="CZ123" s="98"/>
      <c r="DA123" s="98"/>
      <c r="DB123" s="98"/>
      <c r="DC123" s="98"/>
      <c r="DD123" s="98"/>
      <c r="DE123" s="98"/>
      <c r="DF123" s="98"/>
      <c r="DG123" s="98"/>
      <c r="DH123" s="98"/>
      <c r="DI123" s="98"/>
      <c r="DJ123" s="98"/>
      <c r="DK123" s="98"/>
      <c r="DL123" s="98"/>
      <c r="DM123" s="98"/>
      <c r="DN123" s="98"/>
      <c r="DO123" s="98"/>
      <c r="DP123" s="98"/>
      <c r="DQ123" s="98"/>
      <c r="DR123" s="98"/>
      <c r="DS123" s="98"/>
      <c r="DT123" s="98"/>
      <c r="DU123" s="98"/>
      <c r="DV123" s="98"/>
      <c r="DW123" s="98"/>
      <c r="DX123" s="98"/>
      <c r="DY123" s="98"/>
      <c r="DZ123" s="98"/>
      <c r="EA123" s="98"/>
      <c r="EB123" s="98"/>
      <c r="EC123" s="98"/>
      <c r="ED123" s="98"/>
      <c r="EE123" s="98"/>
      <c r="EF123" s="98"/>
      <c r="EG123" s="98"/>
      <c r="EH123" s="98"/>
      <c r="EI123" s="98"/>
      <c r="EJ123" s="98"/>
      <c r="EK123" s="98"/>
      <c r="EL123" s="98"/>
      <c r="EM123" s="98"/>
      <c r="EN123" s="98"/>
      <c r="EO123" s="98"/>
      <c r="EP123" s="98"/>
      <c r="EQ123" s="98"/>
      <c r="ER123" s="98"/>
      <c r="ES123" s="98"/>
      <c r="ET123" s="98"/>
      <c r="EU123" s="98"/>
      <c r="EV123" s="98"/>
      <c r="EW123" s="98"/>
      <c r="EX123" s="98"/>
      <c r="EY123" s="98"/>
      <c r="EZ123" s="98"/>
      <c r="FA123" s="98"/>
      <c r="FB123" s="98"/>
      <c r="FC123" s="98"/>
      <c r="FD123" s="98"/>
      <c r="FE123" s="98"/>
      <c r="FF123" s="98"/>
      <c r="FG123" s="98"/>
      <c r="FH123" s="98"/>
      <c r="FI123" s="98"/>
      <c r="FJ123" s="98"/>
      <c r="FK123" s="98"/>
      <c r="FL123" s="98"/>
      <c r="FM123" s="98"/>
      <c r="FN123" s="98"/>
      <c r="FO123" s="98"/>
      <c r="FP123" s="98"/>
      <c r="FQ123" s="98"/>
      <c r="FR123" s="98"/>
      <c r="FS123" s="98"/>
      <c r="FT123" s="98"/>
      <c r="FU123" s="98"/>
      <c r="FV123" s="98"/>
      <c r="FW123" s="98"/>
      <c r="FX123" s="98"/>
      <c r="FY123" s="98"/>
      <c r="FZ123" s="98"/>
      <c r="GA123" s="98"/>
      <c r="GB123" s="98"/>
      <c r="GC123" s="98"/>
      <c r="GD123" s="98"/>
      <c r="GE123" s="98"/>
      <c r="GF123" s="98"/>
      <c r="GG123" s="98"/>
      <c r="GH123" s="98"/>
      <c r="GI123" s="98"/>
      <c r="GJ123" s="98"/>
      <c r="GK123" s="98"/>
      <c r="GL123" s="98"/>
      <c r="GM123" s="98"/>
      <c r="GN123" s="98"/>
      <c r="GO123" s="98"/>
      <c r="GP123" s="98"/>
      <c r="GQ123" s="98"/>
      <c r="GR123" s="98"/>
      <c r="GS123" s="98"/>
      <c r="GT123" s="98"/>
      <c r="GU123" s="98"/>
      <c r="GV123" s="98"/>
      <c r="GW123" s="98"/>
      <c r="GX123" s="98"/>
      <c r="GY123" s="98"/>
      <c r="GZ123" s="98"/>
      <c r="HA123" s="98"/>
      <c r="HB123" s="98"/>
      <c r="HC123" s="98"/>
      <c r="HD123" s="98"/>
      <c r="HE123" s="98"/>
      <c r="HF123" s="98"/>
      <c r="HG123" s="98"/>
      <c r="HH123" s="98"/>
      <c r="HI123" s="98"/>
      <c r="HJ123" s="98"/>
      <c r="HK123" s="98"/>
      <c r="HL123" s="98"/>
      <c r="HM123" s="98"/>
      <c r="HN123" s="98"/>
      <c r="HO123" s="98"/>
      <c r="HP123" s="98"/>
      <c r="HQ123" s="98"/>
      <c r="HR123" s="98"/>
      <c r="HS123" s="98"/>
      <c r="HT123" s="98"/>
      <c r="HU123" s="98"/>
      <c r="HV123" s="98"/>
      <c r="HW123" s="98"/>
      <c r="HX123" s="98"/>
      <c r="HY123" s="98"/>
      <c r="HZ123" s="98"/>
      <c r="IA123" s="98"/>
      <c r="IB123" s="98"/>
      <c r="IC123" s="98"/>
      <c r="ID123" s="98"/>
      <c r="IE123" s="98"/>
      <c r="IF123" s="98"/>
      <c r="IG123" s="98"/>
      <c r="IH123" s="98"/>
      <c r="II123" s="98"/>
      <c r="IJ123" s="98"/>
      <c r="IK123" s="98"/>
      <c r="IL123" s="98"/>
      <c r="IM123" s="98"/>
      <c r="IN123" s="98"/>
      <c r="IO123" s="98"/>
      <c r="IP123" s="98"/>
      <c r="IQ123" s="98"/>
      <c r="IR123" s="98"/>
      <c r="IS123" s="98"/>
      <c r="IT123" s="98"/>
      <c r="IU123" s="98"/>
      <c r="IV123" s="98"/>
      <c r="IW123" s="98"/>
    </row>
    <row r="124" customFormat="false" ht="12.75" hidden="false" customHeight="true" outlineLevel="0" collapsed="false">
      <c r="A124" s="98"/>
      <c r="B124" s="294" t="s">
        <v>472</v>
      </c>
      <c r="C124" s="535" t="n">
        <v>17.9</v>
      </c>
      <c r="D124" s="135" t="n">
        <v>27.2</v>
      </c>
      <c r="E124" s="135" t="n">
        <v>24.3</v>
      </c>
      <c r="F124" s="135" t="n">
        <v>21.137</v>
      </c>
      <c r="G124" s="135"/>
      <c r="H124" s="135"/>
      <c r="I124" s="135"/>
      <c r="J124" s="135"/>
      <c r="K124" s="135"/>
      <c r="L124" s="135"/>
      <c r="M124" s="135"/>
      <c r="N124" s="135"/>
      <c r="O124" s="513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8"/>
      <c r="BY124" s="98"/>
      <c r="BZ124" s="98"/>
      <c r="CA124" s="98"/>
      <c r="CB124" s="98"/>
      <c r="CC124" s="98"/>
      <c r="CD124" s="98"/>
      <c r="CE124" s="98"/>
      <c r="CF124" s="98"/>
      <c r="CG124" s="98"/>
      <c r="CH124" s="98"/>
      <c r="CI124" s="98"/>
      <c r="CJ124" s="98"/>
      <c r="CK124" s="98"/>
      <c r="CL124" s="98"/>
      <c r="CM124" s="98"/>
      <c r="CN124" s="98"/>
      <c r="CO124" s="98"/>
      <c r="CP124" s="98"/>
      <c r="CQ124" s="98"/>
      <c r="CR124" s="98"/>
      <c r="CS124" s="98"/>
      <c r="CT124" s="98"/>
      <c r="CU124" s="98"/>
      <c r="CV124" s="98"/>
      <c r="CW124" s="98"/>
      <c r="CX124" s="98"/>
      <c r="CY124" s="98"/>
      <c r="CZ124" s="98"/>
      <c r="DA124" s="98"/>
      <c r="DB124" s="98"/>
      <c r="DC124" s="98"/>
      <c r="DD124" s="98"/>
      <c r="DE124" s="98"/>
      <c r="DF124" s="98"/>
      <c r="DG124" s="98"/>
      <c r="DH124" s="98"/>
      <c r="DI124" s="98"/>
      <c r="DJ124" s="98"/>
      <c r="DK124" s="98"/>
      <c r="DL124" s="98"/>
      <c r="DM124" s="98"/>
      <c r="DN124" s="98"/>
      <c r="DO124" s="98"/>
      <c r="DP124" s="98"/>
      <c r="DQ124" s="98"/>
      <c r="DR124" s="98"/>
      <c r="DS124" s="98"/>
      <c r="DT124" s="98"/>
      <c r="DU124" s="98"/>
      <c r="DV124" s="98"/>
      <c r="DW124" s="98"/>
      <c r="DX124" s="98"/>
      <c r="DY124" s="98"/>
      <c r="DZ124" s="98"/>
      <c r="EA124" s="98"/>
      <c r="EB124" s="98"/>
      <c r="EC124" s="98"/>
      <c r="ED124" s="98"/>
      <c r="EE124" s="98"/>
      <c r="EF124" s="98"/>
      <c r="EG124" s="98"/>
      <c r="EH124" s="98"/>
      <c r="EI124" s="98"/>
      <c r="EJ124" s="98"/>
      <c r="EK124" s="98"/>
      <c r="EL124" s="98"/>
      <c r="EM124" s="98"/>
      <c r="EN124" s="98"/>
      <c r="EO124" s="98"/>
      <c r="EP124" s="98"/>
      <c r="EQ124" s="98"/>
      <c r="ER124" s="98"/>
      <c r="ES124" s="98"/>
      <c r="ET124" s="98"/>
      <c r="EU124" s="98"/>
      <c r="EV124" s="98"/>
      <c r="EW124" s="98"/>
      <c r="EX124" s="98"/>
      <c r="EY124" s="98"/>
      <c r="EZ124" s="98"/>
      <c r="FA124" s="98"/>
      <c r="FB124" s="98"/>
      <c r="FC124" s="98"/>
      <c r="FD124" s="98"/>
      <c r="FE124" s="98"/>
      <c r="FF124" s="98"/>
      <c r="FG124" s="98"/>
      <c r="FH124" s="98"/>
      <c r="FI124" s="98"/>
      <c r="FJ124" s="98"/>
      <c r="FK124" s="98"/>
      <c r="FL124" s="98"/>
      <c r="FM124" s="98"/>
      <c r="FN124" s="98"/>
      <c r="FO124" s="98"/>
      <c r="FP124" s="98"/>
      <c r="FQ124" s="98"/>
      <c r="FR124" s="98"/>
      <c r="FS124" s="98"/>
      <c r="FT124" s="98"/>
      <c r="FU124" s="98"/>
      <c r="FV124" s="98"/>
      <c r="FW124" s="98"/>
      <c r="FX124" s="98"/>
      <c r="FY124" s="98"/>
      <c r="FZ124" s="98"/>
      <c r="GA124" s="98"/>
      <c r="GB124" s="98"/>
      <c r="GC124" s="98"/>
      <c r="GD124" s="98"/>
      <c r="GE124" s="98"/>
      <c r="GF124" s="98"/>
      <c r="GG124" s="98"/>
      <c r="GH124" s="98"/>
      <c r="GI124" s="98"/>
      <c r="GJ124" s="98"/>
      <c r="GK124" s="98"/>
      <c r="GL124" s="98"/>
      <c r="GM124" s="98"/>
      <c r="GN124" s="98"/>
      <c r="GO124" s="98"/>
      <c r="GP124" s="98"/>
      <c r="GQ124" s="98"/>
      <c r="GR124" s="98"/>
      <c r="GS124" s="98"/>
      <c r="GT124" s="98"/>
      <c r="GU124" s="98"/>
      <c r="GV124" s="98"/>
      <c r="GW124" s="98"/>
      <c r="GX124" s="98"/>
      <c r="GY124" s="98"/>
      <c r="GZ124" s="98"/>
      <c r="HA124" s="98"/>
      <c r="HB124" s="98"/>
      <c r="HC124" s="98"/>
      <c r="HD124" s="98"/>
      <c r="HE124" s="98"/>
      <c r="HF124" s="98"/>
      <c r="HG124" s="98"/>
      <c r="HH124" s="98"/>
      <c r="HI124" s="98"/>
      <c r="HJ124" s="98"/>
      <c r="HK124" s="98"/>
      <c r="HL124" s="98"/>
      <c r="HM124" s="98"/>
      <c r="HN124" s="98"/>
      <c r="HO124" s="98"/>
      <c r="HP124" s="98"/>
      <c r="HQ124" s="98"/>
      <c r="HR124" s="98"/>
      <c r="HS124" s="98"/>
      <c r="HT124" s="98"/>
      <c r="HU124" s="98"/>
      <c r="HV124" s="98"/>
      <c r="HW124" s="98"/>
      <c r="HX124" s="98"/>
      <c r="HY124" s="98"/>
      <c r="HZ124" s="98"/>
      <c r="IA124" s="98"/>
      <c r="IB124" s="98"/>
      <c r="IC124" s="98"/>
      <c r="ID124" s="98"/>
      <c r="IE124" s="98"/>
      <c r="IF124" s="98"/>
      <c r="IG124" s="98"/>
      <c r="IH124" s="98"/>
      <c r="II124" s="98"/>
      <c r="IJ124" s="98"/>
      <c r="IK124" s="98"/>
      <c r="IL124" s="98"/>
      <c r="IM124" s="98"/>
      <c r="IN124" s="98"/>
      <c r="IO124" s="98"/>
      <c r="IP124" s="98"/>
      <c r="IQ124" s="98"/>
      <c r="IR124" s="98"/>
      <c r="IS124" s="98"/>
      <c r="IT124" s="98"/>
      <c r="IU124" s="98"/>
      <c r="IV124" s="98"/>
      <c r="IW124" s="98"/>
    </row>
    <row r="125" customFormat="false" ht="12.75" hidden="false" customHeight="true" outlineLevel="0" collapsed="false">
      <c r="B125" s="294" t="s">
        <v>118</v>
      </c>
      <c r="C125" s="526" t="n">
        <f aca="false">C124/C123</f>
        <v>0.4475</v>
      </c>
      <c r="D125" s="527" t="n">
        <f aca="false">D124/D123</f>
        <v>0.68</v>
      </c>
      <c r="E125" s="527" t="n">
        <f aca="false">E124/E123</f>
        <v>0.6075</v>
      </c>
      <c r="F125" s="527" t="n">
        <f aca="false">F124/F123</f>
        <v>0.528425</v>
      </c>
      <c r="G125" s="527" t="e">
        <f aca="false">G124/G123</f>
        <v>#DIV/0!</v>
      </c>
      <c r="H125" s="527" t="e">
        <f aca="false">H124/H123</f>
        <v>#DIV/0!</v>
      </c>
      <c r="I125" s="527" t="e">
        <f aca="false">I124/I123</f>
        <v>#DIV/0!</v>
      </c>
      <c r="J125" s="527" t="e">
        <f aca="false">J124/J123</f>
        <v>#DIV/0!</v>
      </c>
      <c r="K125" s="527" t="e">
        <f aca="false">K124/K123</f>
        <v>#DIV/0!</v>
      </c>
      <c r="L125" s="527" t="e">
        <f aca="false">L124/L123</f>
        <v>#DIV/0!</v>
      </c>
      <c r="M125" s="527" t="e">
        <f aca="false">M124/M123</f>
        <v>#DIV/0!</v>
      </c>
      <c r="N125" s="527" t="e">
        <f aca="false">N124/N123</f>
        <v>#DIV/0!</v>
      </c>
      <c r="O125" s="516"/>
    </row>
    <row r="126" customFormat="false" ht="12.75" hidden="false" customHeight="true" outlineLevel="0" collapsed="false">
      <c r="O126" s="333"/>
    </row>
    <row r="127" customFormat="false" ht="12.75" hidden="false" customHeight="true" outlineLevel="0" collapsed="false">
      <c r="A127" s="98" t="n">
        <v>1999</v>
      </c>
      <c r="B127" s="501" t="s">
        <v>471</v>
      </c>
      <c r="C127" s="509" t="n">
        <v>82</v>
      </c>
      <c r="D127" s="510" t="n">
        <v>82</v>
      </c>
      <c r="E127" s="510" t="n">
        <v>40</v>
      </c>
      <c r="F127" s="510" t="n">
        <v>40</v>
      </c>
      <c r="G127" s="510" t="n">
        <v>40</v>
      </c>
      <c r="H127" s="510" t="n">
        <v>40</v>
      </c>
      <c r="I127" s="510" t="n">
        <v>40</v>
      </c>
      <c r="J127" s="510" t="n">
        <v>40</v>
      </c>
      <c r="K127" s="510" t="n">
        <v>40</v>
      </c>
      <c r="L127" s="510" t="n">
        <v>40</v>
      </c>
      <c r="M127" s="510" t="n">
        <v>40</v>
      </c>
      <c r="N127" s="511" t="n">
        <v>40</v>
      </c>
      <c r="O127" s="512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  <c r="BZ127" s="98"/>
      <c r="CA127" s="98"/>
      <c r="CB127" s="98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  <c r="CN127" s="98"/>
      <c r="CO127" s="98"/>
      <c r="CP127" s="98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8"/>
      <c r="DS127" s="98"/>
      <c r="DT127" s="98"/>
      <c r="DU127" s="98"/>
      <c r="DV127" s="98"/>
      <c r="DW127" s="98"/>
      <c r="DX127" s="98"/>
      <c r="DY127" s="98"/>
      <c r="DZ127" s="98"/>
      <c r="EA127" s="98"/>
      <c r="EB127" s="98"/>
      <c r="EC127" s="98"/>
      <c r="ED127" s="98"/>
      <c r="EE127" s="98"/>
      <c r="EF127" s="98"/>
      <c r="EG127" s="98"/>
      <c r="EH127" s="98"/>
      <c r="EI127" s="98"/>
      <c r="EJ127" s="98"/>
      <c r="EK127" s="98"/>
      <c r="EL127" s="98"/>
      <c r="EM127" s="98"/>
      <c r="EN127" s="98"/>
      <c r="EO127" s="98"/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8"/>
      <c r="FF127" s="98"/>
      <c r="FG127" s="98"/>
      <c r="FH127" s="98"/>
      <c r="FI127" s="98"/>
      <c r="FJ127" s="98"/>
      <c r="FK127" s="98"/>
      <c r="FL127" s="98"/>
      <c r="FM127" s="98"/>
      <c r="FN127" s="98"/>
      <c r="FO127" s="98"/>
      <c r="FP127" s="98"/>
      <c r="FQ127" s="98"/>
      <c r="FR127" s="98"/>
      <c r="FS127" s="98"/>
      <c r="FT127" s="98"/>
      <c r="FU127" s="98"/>
      <c r="FV127" s="98"/>
      <c r="FW127" s="98"/>
      <c r="FX127" s="98"/>
      <c r="FY127" s="98"/>
      <c r="FZ127" s="98"/>
      <c r="GA127" s="98"/>
      <c r="GB127" s="98"/>
      <c r="GC127" s="98"/>
      <c r="GD127" s="98"/>
      <c r="GE127" s="98"/>
      <c r="GF127" s="98"/>
      <c r="GG127" s="98"/>
      <c r="GH127" s="98"/>
      <c r="GI127" s="98"/>
      <c r="GJ127" s="98"/>
      <c r="GK127" s="98"/>
      <c r="GL127" s="98"/>
      <c r="GM127" s="98"/>
      <c r="GN127" s="98"/>
      <c r="GO127" s="98"/>
      <c r="GP127" s="98"/>
      <c r="GQ127" s="98"/>
      <c r="GR127" s="98"/>
      <c r="GS127" s="98"/>
      <c r="GT127" s="98"/>
      <c r="GU127" s="98"/>
      <c r="GV127" s="98"/>
      <c r="GW127" s="98"/>
      <c r="GX127" s="98"/>
      <c r="GY127" s="98"/>
      <c r="GZ127" s="98"/>
      <c r="HA127" s="98"/>
      <c r="HB127" s="98"/>
      <c r="HC127" s="98"/>
      <c r="HD127" s="98"/>
      <c r="HE127" s="98"/>
      <c r="HF127" s="98"/>
      <c r="HG127" s="98"/>
      <c r="HH127" s="98"/>
      <c r="HI127" s="98"/>
      <c r="HJ127" s="98"/>
      <c r="HK127" s="98"/>
      <c r="HL127" s="98"/>
      <c r="HM127" s="98"/>
      <c r="HN127" s="98"/>
      <c r="HO127" s="98"/>
      <c r="HP127" s="98"/>
      <c r="HQ127" s="98"/>
      <c r="HR127" s="98"/>
      <c r="HS127" s="98"/>
      <c r="HT127" s="98"/>
      <c r="HU127" s="98"/>
      <c r="HV127" s="98"/>
      <c r="HW127" s="98"/>
      <c r="HX127" s="98"/>
      <c r="HY127" s="98"/>
      <c r="HZ127" s="98"/>
      <c r="IA127" s="98"/>
      <c r="IB127" s="98"/>
      <c r="IC127" s="98"/>
      <c r="ID127" s="98"/>
      <c r="IE127" s="98"/>
      <c r="IF127" s="98"/>
      <c r="IG127" s="98"/>
      <c r="IH127" s="98"/>
      <c r="II127" s="98"/>
      <c r="IJ127" s="98"/>
      <c r="IK127" s="98"/>
      <c r="IL127" s="98"/>
      <c r="IM127" s="98"/>
      <c r="IN127" s="98"/>
      <c r="IO127" s="98"/>
      <c r="IP127" s="98"/>
      <c r="IQ127" s="98"/>
      <c r="IR127" s="98"/>
      <c r="IS127" s="98"/>
      <c r="IT127" s="98"/>
      <c r="IU127" s="98"/>
      <c r="IV127" s="98"/>
      <c r="IW127" s="98"/>
    </row>
    <row r="128" customFormat="false" ht="12.75" hidden="false" customHeight="true" outlineLevel="0" collapsed="false">
      <c r="A128" s="98"/>
      <c r="B128" s="294" t="s">
        <v>472</v>
      </c>
      <c r="C128" s="535" t="n">
        <v>42.13</v>
      </c>
      <c r="D128" s="135" t="n">
        <v>68.9</v>
      </c>
      <c r="E128" s="135" t="n">
        <v>24.066</v>
      </c>
      <c r="F128" s="135" t="n">
        <v>24</v>
      </c>
      <c r="G128" s="135" t="n">
        <v>22.141</v>
      </c>
      <c r="H128" s="135" t="n">
        <v>27.156</v>
      </c>
      <c r="I128" s="135" t="n">
        <v>31.7</v>
      </c>
      <c r="J128" s="135" t="n">
        <v>35.3</v>
      </c>
      <c r="K128" s="135" t="n">
        <v>38.3</v>
      </c>
      <c r="L128" s="135" t="n">
        <v>0</v>
      </c>
      <c r="M128" s="135" t="n">
        <v>0</v>
      </c>
      <c r="N128" s="536" t="n">
        <v>6.344</v>
      </c>
      <c r="O128" s="513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8"/>
      <c r="DS128" s="98"/>
      <c r="DT128" s="98"/>
      <c r="DU128" s="98"/>
      <c r="DV128" s="98"/>
      <c r="DW128" s="98"/>
      <c r="DX128" s="98"/>
      <c r="DY128" s="98"/>
      <c r="DZ128" s="98"/>
      <c r="EA128" s="98"/>
      <c r="EB128" s="98"/>
      <c r="EC128" s="98"/>
      <c r="ED128" s="98"/>
      <c r="EE128" s="98"/>
      <c r="EF128" s="98"/>
      <c r="EG128" s="98"/>
      <c r="EH128" s="98"/>
      <c r="EI128" s="98"/>
      <c r="EJ128" s="98"/>
      <c r="EK128" s="98"/>
      <c r="EL128" s="98"/>
      <c r="EM128" s="98"/>
      <c r="EN128" s="98"/>
      <c r="EO128" s="98"/>
      <c r="EP128" s="98"/>
      <c r="EQ128" s="98"/>
      <c r="ER128" s="98"/>
      <c r="ES128" s="98"/>
      <c r="ET128" s="98"/>
      <c r="EU128" s="98"/>
      <c r="EV128" s="98"/>
      <c r="EW128" s="98"/>
      <c r="EX128" s="98"/>
      <c r="EY128" s="98"/>
      <c r="EZ128" s="98"/>
      <c r="FA128" s="98"/>
      <c r="FB128" s="98"/>
      <c r="FC128" s="98"/>
      <c r="FD128" s="98"/>
      <c r="FE128" s="98"/>
      <c r="FF128" s="98"/>
      <c r="FG128" s="98"/>
      <c r="FH128" s="98"/>
      <c r="FI128" s="98"/>
      <c r="FJ128" s="98"/>
      <c r="FK128" s="98"/>
      <c r="FL128" s="98"/>
      <c r="FM128" s="98"/>
      <c r="FN128" s="98"/>
      <c r="FO128" s="98"/>
      <c r="FP128" s="98"/>
      <c r="FQ128" s="98"/>
      <c r="FR128" s="98"/>
      <c r="FS128" s="98"/>
      <c r="FT128" s="98"/>
      <c r="FU128" s="98"/>
      <c r="FV128" s="98"/>
      <c r="FW128" s="98"/>
      <c r="FX128" s="98"/>
      <c r="FY128" s="98"/>
      <c r="FZ128" s="98"/>
      <c r="GA128" s="98"/>
      <c r="GB128" s="98"/>
      <c r="GC128" s="98"/>
      <c r="GD128" s="98"/>
      <c r="GE128" s="98"/>
      <c r="GF128" s="98"/>
      <c r="GG128" s="98"/>
      <c r="GH128" s="98"/>
      <c r="GI128" s="98"/>
      <c r="GJ128" s="98"/>
      <c r="GK128" s="98"/>
      <c r="GL128" s="98"/>
      <c r="GM128" s="98"/>
      <c r="GN128" s="98"/>
      <c r="GO128" s="98"/>
      <c r="GP128" s="98"/>
      <c r="GQ128" s="98"/>
      <c r="GR128" s="98"/>
      <c r="GS128" s="98"/>
      <c r="GT128" s="98"/>
      <c r="GU128" s="98"/>
      <c r="GV128" s="98"/>
      <c r="GW128" s="98"/>
      <c r="GX128" s="98"/>
      <c r="GY128" s="98"/>
      <c r="GZ128" s="98"/>
      <c r="HA128" s="98"/>
      <c r="HB128" s="98"/>
      <c r="HC128" s="98"/>
      <c r="HD128" s="98"/>
      <c r="HE128" s="98"/>
      <c r="HF128" s="98"/>
      <c r="HG128" s="98"/>
      <c r="HH128" s="98"/>
      <c r="HI128" s="98"/>
      <c r="HJ128" s="98"/>
      <c r="HK128" s="98"/>
      <c r="HL128" s="98"/>
      <c r="HM128" s="98"/>
      <c r="HN128" s="98"/>
      <c r="HO128" s="98"/>
      <c r="HP128" s="98"/>
      <c r="HQ128" s="98"/>
      <c r="HR128" s="98"/>
      <c r="HS128" s="98"/>
      <c r="HT128" s="98"/>
      <c r="HU128" s="98"/>
      <c r="HV128" s="98"/>
      <c r="HW128" s="98"/>
      <c r="HX128" s="98"/>
      <c r="HY128" s="98"/>
      <c r="HZ128" s="98"/>
      <c r="IA128" s="98"/>
      <c r="IB128" s="98"/>
      <c r="IC128" s="98"/>
      <c r="ID128" s="98"/>
      <c r="IE128" s="98"/>
      <c r="IF128" s="98"/>
      <c r="IG128" s="98"/>
      <c r="IH128" s="98"/>
      <c r="II128" s="98"/>
      <c r="IJ128" s="98"/>
      <c r="IK128" s="98"/>
      <c r="IL128" s="98"/>
      <c r="IM128" s="98"/>
      <c r="IN128" s="98"/>
      <c r="IO128" s="98"/>
      <c r="IP128" s="98"/>
      <c r="IQ128" s="98"/>
      <c r="IR128" s="98"/>
      <c r="IS128" s="98"/>
      <c r="IT128" s="98"/>
      <c r="IU128" s="98"/>
      <c r="IV128" s="98"/>
      <c r="IW128" s="98"/>
    </row>
    <row r="129" customFormat="false" ht="12.75" hidden="false" customHeight="true" outlineLevel="0" collapsed="false">
      <c r="B129" s="294" t="s">
        <v>118</v>
      </c>
      <c r="C129" s="526" t="n">
        <f aca="false">C128/C127</f>
        <v>0.513780487804878</v>
      </c>
      <c r="D129" s="527" t="n">
        <f aca="false">D128/D127</f>
        <v>0.840243902439025</v>
      </c>
      <c r="E129" s="527" t="n">
        <f aca="false">E128/E127</f>
        <v>0.60165</v>
      </c>
      <c r="F129" s="527" t="n">
        <f aca="false">F128/F127</f>
        <v>0.6</v>
      </c>
      <c r="G129" s="527" t="n">
        <f aca="false">G128/G127</f>
        <v>0.553525</v>
      </c>
      <c r="H129" s="527" t="n">
        <f aca="false">H128/H127</f>
        <v>0.6789</v>
      </c>
      <c r="I129" s="527" t="n">
        <f aca="false">I128/I127</f>
        <v>0.7925</v>
      </c>
      <c r="J129" s="527" t="n">
        <f aca="false">J128/J127</f>
        <v>0.8825</v>
      </c>
      <c r="K129" s="527" t="n">
        <f aca="false">K128/K127</f>
        <v>0.9575</v>
      </c>
      <c r="L129" s="527" t="n">
        <f aca="false">L128/L127</f>
        <v>0</v>
      </c>
      <c r="M129" s="527" t="n">
        <f aca="false">M128/M127</f>
        <v>0</v>
      </c>
      <c r="N129" s="525" t="n">
        <f aca="false">N128/N127</f>
        <v>0.1586</v>
      </c>
      <c r="O129" s="516"/>
    </row>
    <row r="130" customFormat="false" ht="12.75" hidden="false" customHeight="true" outlineLevel="0" collapsed="false">
      <c r="O130" s="333"/>
    </row>
    <row r="131" customFormat="false" ht="12.75" hidden="false" customHeight="true" outlineLevel="0" collapsed="false">
      <c r="A131" s="294" t="n">
        <v>1998</v>
      </c>
      <c r="B131" s="501" t="s">
        <v>471</v>
      </c>
      <c r="C131" s="328" t="n">
        <v>170</v>
      </c>
      <c r="D131" s="329" t="n">
        <v>130</v>
      </c>
      <c r="E131" s="329" t="n">
        <v>130</v>
      </c>
      <c r="F131" s="329" t="n">
        <v>130</v>
      </c>
      <c r="G131" s="329" t="n">
        <v>130</v>
      </c>
      <c r="H131" s="329" t="n">
        <v>40</v>
      </c>
      <c r="I131" s="329" t="n">
        <v>40</v>
      </c>
      <c r="J131" s="329" t="n">
        <v>40</v>
      </c>
      <c r="K131" s="329" t="n">
        <v>40</v>
      </c>
      <c r="L131" s="329" t="n">
        <v>40</v>
      </c>
      <c r="M131" s="329" t="n">
        <v>48.6</v>
      </c>
      <c r="N131" s="331" t="n">
        <v>82</v>
      </c>
      <c r="O131" s="513"/>
    </row>
    <row r="132" customFormat="false" ht="12.75" hidden="false" customHeight="true" outlineLevel="0" collapsed="false">
      <c r="B132" s="294" t="s">
        <v>472</v>
      </c>
      <c r="C132" s="332" t="n">
        <v>60</v>
      </c>
      <c r="D132" s="333" t="n">
        <v>85.1</v>
      </c>
      <c r="E132" s="333" t="n">
        <v>83.1</v>
      </c>
      <c r="F132" s="333" t="n">
        <v>99.2</v>
      </c>
      <c r="G132" s="333" t="n">
        <v>97</v>
      </c>
      <c r="H132" s="333" t="n">
        <v>38.5</v>
      </c>
      <c r="I132" s="333" t="n">
        <v>39.3</v>
      </c>
      <c r="J132" s="333" t="n">
        <v>17.9</v>
      </c>
      <c r="K132" s="333" t="n">
        <v>25.9</v>
      </c>
      <c r="L132" s="333" t="n">
        <v>17</v>
      </c>
      <c r="M132" s="333" t="n">
        <v>49.4</v>
      </c>
      <c r="N132" s="337" t="n">
        <v>52.6</v>
      </c>
      <c r="O132" s="513"/>
    </row>
    <row r="133" customFormat="false" ht="12.75" hidden="false" customHeight="true" outlineLevel="0" collapsed="false">
      <c r="B133" s="294" t="s">
        <v>118</v>
      </c>
      <c r="C133" s="526" t="n">
        <f aca="false">C132/C131</f>
        <v>0.352941176470588</v>
      </c>
      <c r="D133" s="527" t="n">
        <f aca="false">D132/D131</f>
        <v>0.654615384615385</v>
      </c>
      <c r="E133" s="527" t="n">
        <f aca="false">E132/E131</f>
        <v>0.639230769230769</v>
      </c>
      <c r="F133" s="527" t="n">
        <f aca="false">F132/F131</f>
        <v>0.763076923076923</v>
      </c>
      <c r="G133" s="527" t="n">
        <f aca="false">G132/G131</f>
        <v>0.746153846153846</v>
      </c>
      <c r="H133" s="527" t="n">
        <f aca="false">H132/H131</f>
        <v>0.9625</v>
      </c>
      <c r="I133" s="527" t="n">
        <f aca="false">I132/I131</f>
        <v>0.9825</v>
      </c>
      <c r="J133" s="527" t="n">
        <f aca="false">J132/J131</f>
        <v>0.4475</v>
      </c>
      <c r="K133" s="527" t="n">
        <f aca="false">K132/K131</f>
        <v>0.6475</v>
      </c>
      <c r="L133" s="527" t="n">
        <f aca="false">L132/L131</f>
        <v>0.425</v>
      </c>
      <c r="M133" s="527" t="n">
        <f aca="false">M132/M131</f>
        <v>1.01646090534979</v>
      </c>
      <c r="N133" s="525" t="n">
        <f aca="false">N132/N131</f>
        <v>0.641463414634146</v>
      </c>
      <c r="O133" s="516"/>
    </row>
    <row r="134" customFormat="false" ht="12.75" hidden="false" customHeight="true" outlineLevel="0" collapsed="false">
      <c r="O134" s="333"/>
    </row>
    <row r="135" customFormat="false" ht="12.75" hidden="false" customHeight="true" outlineLevel="0" collapsed="false">
      <c r="A135" s="496"/>
      <c r="B135" s="497" t="s">
        <v>43</v>
      </c>
      <c r="C135" s="498"/>
      <c r="D135" s="498"/>
      <c r="E135" s="498"/>
      <c r="F135" s="498"/>
      <c r="G135" s="498"/>
      <c r="H135" s="498"/>
      <c r="I135" s="498"/>
      <c r="J135" s="498"/>
      <c r="K135" s="498"/>
      <c r="L135" s="498"/>
      <c r="M135" s="498"/>
      <c r="N135" s="498"/>
      <c r="O135" s="524"/>
      <c r="P135" s="496"/>
      <c r="Q135" s="496"/>
      <c r="R135" s="496"/>
      <c r="S135" s="496"/>
      <c r="T135" s="496"/>
      <c r="U135" s="496"/>
      <c r="V135" s="496"/>
      <c r="W135" s="496"/>
      <c r="X135" s="496"/>
      <c r="Y135" s="496"/>
      <c r="Z135" s="496"/>
      <c r="AA135" s="496"/>
      <c r="AB135" s="496"/>
      <c r="AC135" s="496"/>
      <c r="AD135" s="496"/>
      <c r="AE135" s="496"/>
      <c r="AF135" s="496"/>
      <c r="AG135" s="496"/>
      <c r="AH135" s="496"/>
      <c r="AI135" s="496"/>
      <c r="AJ135" s="496"/>
      <c r="AK135" s="496"/>
      <c r="AL135" s="496"/>
      <c r="AM135" s="496"/>
      <c r="AN135" s="496"/>
      <c r="AO135" s="496"/>
      <c r="AP135" s="496"/>
      <c r="AQ135" s="496"/>
      <c r="AR135" s="496"/>
      <c r="AS135" s="496"/>
      <c r="AT135" s="496"/>
      <c r="AU135" s="496"/>
      <c r="AV135" s="496"/>
      <c r="AW135" s="496"/>
      <c r="AX135" s="496"/>
      <c r="AY135" s="496"/>
      <c r="AZ135" s="496"/>
      <c r="BA135" s="496"/>
      <c r="BB135" s="496"/>
      <c r="BC135" s="496"/>
      <c r="BD135" s="496"/>
      <c r="BE135" s="496"/>
      <c r="BF135" s="496"/>
      <c r="BG135" s="496"/>
      <c r="BH135" s="496"/>
      <c r="BI135" s="496"/>
      <c r="BJ135" s="496"/>
      <c r="BK135" s="496"/>
      <c r="BL135" s="496"/>
      <c r="BM135" s="496"/>
      <c r="BN135" s="496"/>
      <c r="BO135" s="496"/>
      <c r="BP135" s="496"/>
      <c r="BQ135" s="496"/>
      <c r="BR135" s="496"/>
      <c r="BS135" s="496"/>
      <c r="BT135" s="496"/>
      <c r="BU135" s="496"/>
      <c r="BV135" s="496"/>
      <c r="BW135" s="496"/>
      <c r="BX135" s="496"/>
      <c r="BY135" s="496"/>
      <c r="BZ135" s="496"/>
      <c r="CA135" s="496"/>
      <c r="CB135" s="496"/>
      <c r="CC135" s="496"/>
      <c r="CD135" s="496"/>
      <c r="CE135" s="496"/>
      <c r="CF135" s="496"/>
      <c r="CG135" s="496"/>
      <c r="CH135" s="496"/>
      <c r="CI135" s="496"/>
      <c r="CJ135" s="496"/>
      <c r="CK135" s="496"/>
      <c r="CL135" s="496"/>
      <c r="CM135" s="496"/>
      <c r="CN135" s="496"/>
      <c r="CO135" s="496"/>
      <c r="CP135" s="496"/>
      <c r="CQ135" s="496"/>
      <c r="CR135" s="496"/>
      <c r="CS135" s="496"/>
      <c r="CT135" s="496"/>
      <c r="CU135" s="496"/>
      <c r="CV135" s="496"/>
      <c r="CW135" s="496"/>
      <c r="CX135" s="496"/>
      <c r="CY135" s="496"/>
      <c r="CZ135" s="496"/>
      <c r="DA135" s="496"/>
      <c r="DB135" s="496"/>
      <c r="DC135" s="496"/>
      <c r="DD135" s="496"/>
      <c r="DE135" s="496"/>
      <c r="DF135" s="496"/>
      <c r="DG135" s="496"/>
      <c r="DH135" s="496"/>
      <c r="DI135" s="496"/>
      <c r="DJ135" s="496"/>
      <c r="DK135" s="496"/>
      <c r="DL135" s="496"/>
      <c r="DM135" s="496"/>
      <c r="DN135" s="496"/>
      <c r="DO135" s="496"/>
      <c r="DP135" s="496"/>
      <c r="DQ135" s="496"/>
      <c r="DR135" s="496"/>
      <c r="DS135" s="496"/>
      <c r="DT135" s="496"/>
      <c r="DU135" s="496"/>
      <c r="DV135" s="496"/>
      <c r="DW135" s="496"/>
      <c r="DX135" s="496"/>
      <c r="DY135" s="496"/>
      <c r="DZ135" s="496"/>
      <c r="EA135" s="496"/>
      <c r="EB135" s="496"/>
      <c r="EC135" s="496"/>
      <c r="ED135" s="496"/>
      <c r="EE135" s="496"/>
      <c r="EF135" s="496"/>
      <c r="EG135" s="496"/>
      <c r="EH135" s="496"/>
      <c r="EI135" s="496"/>
      <c r="EJ135" s="496"/>
      <c r="EK135" s="496"/>
      <c r="EL135" s="496"/>
      <c r="EM135" s="496"/>
      <c r="EN135" s="496"/>
      <c r="EO135" s="496"/>
      <c r="EP135" s="496"/>
      <c r="EQ135" s="496"/>
      <c r="ER135" s="496"/>
      <c r="ES135" s="496"/>
      <c r="ET135" s="496"/>
      <c r="EU135" s="496"/>
      <c r="EV135" s="496"/>
      <c r="EW135" s="496"/>
      <c r="EX135" s="496"/>
      <c r="EY135" s="496"/>
      <c r="EZ135" s="496"/>
      <c r="FA135" s="496"/>
      <c r="FB135" s="496"/>
      <c r="FC135" s="496"/>
      <c r="FD135" s="496"/>
      <c r="FE135" s="496"/>
      <c r="FF135" s="496"/>
      <c r="FG135" s="496"/>
      <c r="FH135" s="496"/>
      <c r="FI135" s="496"/>
      <c r="FJ135" s="496"/>
      <c r="FK135" s="496"/>
      <c r="FL135" s="496"/>
      <c r="FM135" s="496"/>
      <c r="FN135" s="496"/>
      <c r="FO135" s="496"/>
      <c r="FP135" s="496"/>
      <c r="FQ135" s="496"/>
      <c r="FR135" s="496"/>
      <c r="FS135" s="496"/>
      <c r="FT135" s="496"/>
      <c r="FU135" s="496"/>
      <c r="FV135" s="496"/>
      <c r="FW135" s="496"/>
      <c r="FX135" s="496"/>
      <c r="FY135" s="496"/>
      <c r="FZ135" s="496"/>
      <c r="GA135" s="496"/>
      <c r="GB135" s="496"/>
      <c r="GC135" s="496"/>
      <c r="GD135" s="496"/>
      <c r="GE135" s="496"/>
      <c r="GF135" s="496"/>
      <c r="GG135" s="496"/>
      <c r="GH135" s="496"/>
      <c r="GI135" s="496"/>
      <c r="GJ135" s="496"/>
      <c r="GK135" s="496"/>
      <c r="GL135" s="496"/>
      <c r="GM135" s="496"/>
      <c r="GN135" s="496"/>
      <c r="GO135" s="496"/>
      <c r="GP135" s="496"/>
      <c r="GQ135" s="496"/>
      <c r="GR135" s="496"/>
      <c r="GS135" s="496"/>
      <c r="GT135" s="496"/>
      <c r="GU135" s="496"/>
      <c r="GV135" s="496"/>
      <c r="GW135" s="496"/>
      <c r="GX135" s="496"/>
      <c r="GY135" s="496"/>
      <c r="GZ135" s="496"/>
      <c r="HA135" s="496"/>
      <c r="HB135" s="496"/>
      <c r="HC135" s="496"/>
      <c r="HD135" s="496"/>
      <c r="HE135" s="496"/>
      <c r="HF135" s="496"/>
      <c r="HG135" s="496"/>
      <c r="HH135" s="496"/>
      <c r="HI135" s="496"/>
      <c r="HJ135" s="496"/>
      <c r="HK135" s="496"/>
      <c r="HL135" s="496"/>
      <c r="HM135" s="496"/>
      <c r="HN135" s="496"/>
      <c r="HO135" s="496"/>
      <c r="HP135" s="496"/>
      <c r="HQ135" s="496"/>
      <c r="HR135" s="496"/>
      <c r="HS135" s="496"/>
      <c r="HT135" s="496"/>
      <c r="HU135" s="496"/>
      <c r="HV135" s="496"/>
      <c r="HW135" s="496"/>
      <c r="HX135" s="496"/>
      <c r="HY135" s="496"/>
      <c r="HZ135" s="496"/>
      <c r="IA135" s="496"/>
      <c r="IB135" s="496"/>
      <c r="IC135" s="496"/>
      <c r="ID135" s="496"/>
      <c r="IE135" s="496"/>
      <c r="IF135" s="496"/>
      <c r="IG135" s="496"/>
      <c r="IH135" s="496"/>
      <c r="II135" s="496"/>
      <c r="IJ135" s="496"/>
      <c r="IK135" s="496"/>
      <c r="IL135" s="496"/>
      <c r="IM135" s="496"/>
      <c r="IN135" s="496"/>
      <c r="IO135" s="496"/>
      <c r="IP135" s="496"/>
      <c r="IQ135" s="496"/>
      <c r="IR135" s="496"/>
      <c r="IS135" s="496"/>
      <c r="IT135" s="496"/>
      <c r="IU135" s="496"/>
      <c r="IV135" s="496"/>
      <c r="IW135" s="496"/>
    </row>
    <row r="136" customFormat="false" ht="12.75" hidden="false" customHeight="true" outlineLevel="0" collapsed="false">
      <c r="B136" s="499" t="s">
        <v>470</v>
      </c>
      <c r="C136" s="500" t="n">
        <f aca="false">(C139+C143+C147)/3</f>
        <v>0.550817268782605</v>
      </c>
      <c r="D136" s="500" t="n">
        <f aca="false">(D139+D143+D147)/3</f>
        <v>0.70077519379845</v>
      </c>
      <c r="E136" s="500" t="n">
        <f aca="false">(E139+E143+E147)/3</f>
        <v>0.739171918719325</v>
      </c>
      <c r="F136" s="500" t="n">
        <f aca="false">(F139+F143+F147)/3</f>
        <v>0.65063350877193</v>
      </c>
      <c r="G136" s="500" t="n">
        <f aca="false">(G155+G143+G147)/3</f>
        <v>0.441334221380222</v>
      </c>
      <c r="H136" s="500" t="n">
        <f aca="false">(H155+H143+H147)/3</f>
        <v>0.410641509433962</v>
      </c>
      <c r="I136" s="500" t="n">
        <f aca="false">(I155+I143+I147)/3</f>
        <v>0.420731731481812</v>
      </c>
      <c r="J136" s="500" t="n">
        <f aca="false">(J155+J143+J147)/3</f>
        <v>0.420545073375262</v>
      </c>
      <c r="K136" s="500" t="n">
        <f aca="false">(K155+K143+K147)/3</f>
        <v>0.40314465408805</v>
      </c>
      <c r="L136" s="500" t="n">
        <f aca="false">(L155+L143+L147)/3</f>
        <v>0.33987110800528</v>
      </c>
      <c r="M136" s="500" t="n">
        <f aca="false">(M155+M143+M147)/3</f>
        <v>0.387004525893415</v>
      </c>
      <c r="N136" s="500" t="n">
        <f aca="false">(N155+N143+N147)/3</f>
        <v>0.451308176100629</v>
      </c>
      <c r="O136" s="333"/>
    </row>
    <row r="137" customFormat="false" ht="12.75" hidden="false" customHeight="true" outlineLevel="0" collapsed="false">
      <c r="A137" s="98" t="n">
        <v>2000</v>
      </c>
      <c r="B137" s="501" t="s">
        <v>471</v>
      </c>
      <c r="C137" s="509" t="n">
        <v>159</v>
      </c>
      <c r="D137" s="510" t="n">
        <v>159</v>
      </c>
      <c r="E137" s="510" t="n">
        <v>104</v>
      </c>
      <c r="F137" s="510" t="n">
        <v>100</v>
      </c>
      <c r="G137" s="510"/>
      <c r="H137" s="510"/>
      <c r="I137" s="510"/>
      <c r="J137" s="510"/>
      <c r="K137" s="510"/>
      <c r="L137" s="510"/>
      <c r="M137" s="510"/>
      <c r="N137" s="510"/>
      <c r="O137" s="513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8"/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8"/>
      <c r="CL137" s="98"/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98"/>
      <c r="DI137" s="98"/>
      <c r="DJ137" s="98"/>
      <c r="DK137" s="98"/>
      <c r="DL137" s="98"/>
      <c r="DM137" s="98"/>
      <c r="DN137" s="98"/>
      <c r="DO137" s="98"/>
      <c r="DP137" s="98"/>
      <c r="DQ137" s="98"/>
      <c r="DR137" s="98"/>
      <c r="DS137" s="98"/>
      <c r="DT137" s="98"/>
      <c r="DU137" s="98"/>
      <c r="DV137" s="98"/>
      <c r="DW137" s="98"/>
      <c r="DX137" s="98"/>
      <c r="DY137" s="98"/>
      <c r="DZ137" s="98"/>
      <c r="EA137" s="98"/>
      <c r="EB137" s="98"/>
      <c r="EC137" s="98"/>
      <c r="ED137" s="98"/>
      <c r="EE137" s="98"/>
      <c r="EF137" s="98"/>
      <c r="EG137" s="98"/>
      <c r="EH137" s="98"/>
      <c r="EI137" s="98"/>
      <c r="EJ137" s="98"/>
      <c r="EK137" s="98"/>
      <c r="EL137" s="98"/>
      <c r="EM137" s="98"/>
      <c r="EN137" s="98"/>
      <c r="EO137" s="98"/>
      <c r="EP137" s="98"/>
      <c r="EQ137" s="98"/>
      <c r="ER137" s="98"/>
      <c r="ES137" s="98"/>
      <c r="ET137" s="98"/>
      <c r="EU137" s="98"/>
      <c r="EV137" s="98"/>
      <c r="EW137" s="98"/>
      <c r="EX137" s="98"/>
      <c r="EY137" s="98"/>
      <c r="EZ137" s="98"/>
      <c r="FA137" s="98"/>
      <c r="FB137" s="98"/>
      <c r="FC137" s="98"/>
      <c r="FD137" s="98"/>
      <c r="FE137" s="98"/>
      <c r="FF137" s="98"/>
      <c r="FG137" s="98"/>
      <c r="FH137" s="98"/>
      <c r="FI137" s="98"/>
      <c r="FJ137" s="98"/>
      <c r="FK137" s="98"/>
      <c r="FL137" s="98"/>
      <c r="FM137" s="98"/>
      <c r="FN137" s="98"/>
      <c r="FO137" s="98"/>
      <c r="FP137" s="98"/>
      <c r="FQ137" s="98"/>
      <c r="FR137" s="98"/>
      <c r="FS137" s="98"/>
      <c r="FT137" s="98"/>
      <c r="FU137" s="98"/>
      <c r="FV137" s="98"/>
      <c r="FW137" s="98"/>
      <c r="FX137" s="98"/>
      <c r="FY137" s="98"/>
      <c r="FZ137" s="98"/>
      <c r="GA137" s="98"/>
      <c r="GB137" s="98"/>
      <c r="GC137" s="98"/>
      <c r="GD137" s="98"/>
      <c r="GE137" s="98"/>
      <c r="GF137" s="98"/>
      <c r="GG137" s="98"/>
      <c r="GH137" s="98"/>
      <c r="GI137" s="98"/>
      <c r="GJ137" s="98"/>
      <c r="GK137" s="98"/>
      <c r="GL137" s="98"/>
      <c r="GM137" s="98"/>
      <c r="GN137" s="98"/>
      <c r="GO137" s="98"/>
      <c r="GP137" s="98"/>
      <c r="GQ137" s="98"/>
      <c r="GR137" s="98"/>
      <c r="GS137" s="98"/>
      <c r="GT137" s="98"/>
      <c r="GU137" s="98"/>
      <c r="GV137" s="98"/>
      <c r="GW137" s="98"/>
      <c r="GX137" s="98"/>
      <c r="GY137" s="98"/>
      <c r="GZ137" s="98"/>
      <c r="HA137" s="98"/>
      <c r="HB137" s="98"/>
      <c r="HC137" s="98"/>
      <c r="HD137" s="98"/>
      <c r="HE137" s="98"/>
      <c r="HF137" s="98"/>
      <c r="HG137" s="98"/>
      <c r="HH137" s="98"/>
      <c r="HI137" s="98"/>
      <c r="HJ137" s="98"/>
      <c r="HK137" s="98"/>
      <c r="HL137" s="98"/>
      <c r="HM137" s="98"/>
      <c r="HN137" s="98"/>
      <c r="HO137" s="98"/>
      <c r="HP137" s="98"/>
      <c r="HQ137" s="98"/>
      <c r="HR137" s="98"/>
      <c r="HS137" s="98"/>
      <c r="HT137" s="98"/>
      <c r="HU137" s="98"/>
      <c r="HV137" s="98"/>
      <c r="HW137" s="98"/>
      <c r="HX137" s="98"/>
      <c r="HY137" s="98"/>
      <c r="HZ137" s="98"/>
      <c r="IA137" s="98"/>
      <c r="IB137" s="98"/>
      <c r="IC137" s="98"/>
      <c r="ID137" s="98"/>
      <c r="IE137" s="98"/>
      <c r="IF137" s="98"/>
      <c r="IG137" s="98"/>
      <c r="IH137" s="98"/>
      <c r="II137" s="98"/>
      <c r="IJ137" s="98"/>
      <c r="IK137" s="98"/>
      <c r="IL137" s="98"/>
      <c r="IM137" s="98"/>
      <c r="IN137" s="98"/>
      <c r="IO137" s="98"/>
      <c r="IP137" s="98"/>
      <c r="IQ137" s="98"/>
      <c r="IR137" s="98"/>
      <c r="IS137" s="98"/>
      <c r="IT137" s="98"/>
      <c r="IU137" s="98"/>
      <c r="IV137" s="98"/>
      <c r="IW137" s="98"/>
    </row>
    <row r="138" customFormat="false" ht="12.75" hidden="false" customHeight="true" outlineLevel="0" collapsed="false">
      <c r="A138" s="98"/>
      <c r="B138" s="294" t="s">
        <v>472</v>
      </c>
      <c r="C138" s="535" t="n">
        <v>112.2</v>
      </c>
      <c r="D138" s="135" t="n">
        <v>155.8</v>
      </c>
      <c r="E138" s="135" t="n">
        <v>101</v>
      </c>
      <c r="F138" s="135" t="n">
        <v>86.519</v>
      </c>
      <c r="G138" s="135"/>
      <c r="H138" s="135"/>
      <c r="I138" s="135"/>
      <c r="J138" s="135"/>
      <c r="K138" s="135"/>
      <c r="L138" s="135"/>
      <c r="M138" s="135"/>
      <c r="N138" s="135"/>
      <c r="O138" s="513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  <c r="BZ138" s="98"/>
      <c r="CA138" s="98"/>
      <c r="CB138" s="98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  <c r="CN138" s="98"/>
      <c r="CO138" s="98"/>
      <c r="CP138" s="98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98"/>
      <c r="DI138" s="98"/>
      <c r="DJ138" s="98"/>
      <c r="DK138" s="98"/>
      <c r="DL138" s="98"/>
      <c r="DM138" s="98"/>
      <c r="DN138" s="98"/>
      <c r="DO138" s="98"/>
      <c r="DP138" s="98"/>
      <c r="DQ138" s="98"/>
      <c r="DR138" s="98"/>
      <c r="DS138" s="98"/>
      <c r="DT138" s="98"/>
      <c r="DU138" s="98"/>
      <c r="DV138" s="98"/>
      <c r="DW138" s="98"/>
      <c r="DX138" s="98"/>
      <c r="DY138" s="98"/>
      <c r="DZ138" s="98"/>
      <c r="EA138" s="98"/>
      <c r="EB138" s="98"/>
      <c r="EC138" s="98"/>
      <c r="ED138" s="98"/>
      <c r="EE138" s="98"/>
      <c r="EF138" s="98"/>
      <c r="EG138" s="98"/>
      <c r="EH138" s="98"/>
      <c r="EI138" s="98"/>
      <c r="EJ138" s="98"/>
      <c r="EK138" s="98"/>
      <c r="EL138" s="98"/>
      <c r="EM138" s="98"/>
      <c r="EN138" s="98"/>
      <c r="EO138" s="98"/>
      <c r="EP138" s="98"/>
      <c r="EQ138" s="98"/>
      <c r="ER138" s="98"/>
      <c r="ES138" s="98"/>
      <c r="ET138" s="98"/>
      <c r="EU138" s="98"/>
      <c r="EV138" s="98"/>
      <c r="EW138" s="98"/>
      <c r="EX138" s="98"/>
      <c r="EY138" s="98"/>
      <c r="EZ138" s="98"/>
      <c r="FA138" s="98"/>
      <c r="FB138" s="98"/>
      <c r="FC138" s="98"/>
      <c r="FD138" s="98"/>
      <c r="FE138" s="98"/>
      <c r="FF138" s="98"/>
      <c r="FG138" s="98"/>
      <c r="FH138" s="98"/>
      <c r="FI138" s="98"/>
      <c r="FJ138" s="98"/>
      <c r="FK138" s="98"/>
      <c r="FL138" s="98"/>
      <c r="FM138" s="98"/>
      <c r="FN138" s="98"/>
      <c r="FO138" s="98"/>
      <c r="FP138" s="98"/>
      <c r="FQ138" s="98"/>
      <c r="FR138" s="98"/>
      <c r="FS138" s="98"/>
      <c r="FT138" s="98"/>
      <c r="FU138" s="98"/>
      <c r="FV138" s="98"/>
      <c r="FW138" s="98"/>
      <c r="FX138" s="98"/>
      <c r="FY138" s="98"/>
      <c r="FZ138" s="98"/>
      <c r="GA138" s="98"/>
      <c r="GB138" s="98"/>
      <c r="GC138" s="98"/>
      <c r="GD138" s="98"/>
      <c r="GE138" s="98"/>
      <c r="GF138" s="98"/>
      <c r="GG138" s="98"/>
      <c r="GH138" s="98"/>
      <c r="GI138" s="98"/>
      <c r="GJ138" s="98"/>
      <c r="GK138" s="98"/>
      <c r="GL138" s="98"/>
      <c r="GM138" s="98"/>
      <c r="GN138" s="98"/>
      <c r="GO138" s="98"/>
      <c r="GP138" s="98"/>
      <c r="GQ138" s="98"/>
      <c r="GR138" s="98"/>
      <c r="GS138" s="98"/>
      <c r="GT138" s="98"/>
      <c r="GU138" s="98"/>
      <c r="GV138" s="98"/>
      <c r="GW138" s="98"/>
      <c r="GX138" s="98"/>
      <c r="GY138" s="98"/>
      <c r="GZ138" s="98"/>
      <c r="HA138" s="98"/>
      <c r="HB138" s="98"/>
      <c r="HC138" s="98"/>
      <c r="HD138" s="98"/>
      <c r="HE138" s="98"/>
      <c r="HF138" s="98"/>
      <c r="HG138" s="98"/>
      <c r="HH138" s="98"/>
      <c r="HI138" s="98"/>
      <c r="HJ138" s="98"/>
      <c r="HK138" s="98"/>
      <c r="HL138" s="98"/>
      <c r="HM138" s="98"/>
      <c r="HN138" s="98"/>
      <c r="HO138" s="98"/>
      <c r="HP138" s="98"/>
      <c r="HQ138" s="98"/>
      <c r="HR138" s="98"/>
      <c r="HS138" s="98"/>
      <c r="HT138" s="98"/>
      <c r="HU138" s="98"/>
      <c r="HV138" s="98"/>
      <c r="HW138" s="98"/>
      <c r="HX138" s="98"/>
      <c r="HY138" s="98"/>
      <c r="HZ138" s="98"/>
      <c r="IA138" s="98"/>
      <c r="IB138" s="98"/>
      <c r="IC138" s="98"/>
      <c r="ID138" s="98"/>
      <c r="IE138" s="98"/>
      <c r="IF138" s="98"/>
      <c r="IG138" s="98"/>
      <c r="IH138" s="98"/>
      <c r="II138" s="98"/>
      <c r="IJ138" s="98"/>
      <c r="IK138" s="98"/>
      <c r="IL138" s="98"/>
      <c r="IM138" s="98"/>
      <c r="IN138" s="98"/>
      <c r="IO138" s="98"/>
      <c r="IP138" s="98"/>
      <c r="IQ138" s="98"/>
      <c r="IR138" s="98"/>
      <c r="IS138" s="98"/>
      <c r="IT138" s="98"/>
      <c r="IU138" s="98"/>
      <c r="IV138" s="98"/>
      <c r="IW138" s="98"/>
    </row>
    <row r="139" customFormat="false" ht="12.75" hidden="false" customHeight="true" outlineLevel="0" collapsed="false">
      <c r="B139" s="294" t="s">
        <v>118</v>
      </c>
      <c r="C139" s="526" t="n">
        <f aca="false">C138/C137</f>
        <v>0.705660377358491</v>
      </c>
      <c r="D139" s="527" t="n">
        <f aca="false">D138/D137</f>
        <v>0.979874213836478</v>
      </c>
      <c r="E139" s="527" t="n">
        <f aca="false">E138/E137</f>
        <v>0.971153846153846</v>
      </c>
      <c r="F139" s="527" t="n">
        <f aca="false">F138/F137</f>
        <v>0.86519</v>
      </c>
      <c r="G139" s="527" t="e">
        <f aca="false">G138/G137</f>
        <v>#DIV/0!</v>
      </c>
      <c r="H139" s="527" t="e">
        <f aca="false">H138/H137</f>
        <v>#DIV/0!</v>
      </c>
      <c r="I139" s="527" t="e">
        <f aca="false">I138/I137</f>
        <v>#DIV/0!</v>
      </c>
      <c r="J139" s="527" t="e">
        <f aca="false">J138/J137</f>
        <v>#DIV/0!</v>
      </c>
      <c r="K139" s="527" t="e">
        <f aca="false">K138/K137</f>
        <v>#DIV/0!</v>
      </c>
      <c r="L139" s="527" t="e">
        <f aca="false">L138/L137</f>
        <v>#DIV/0!</v>
      </c>
      <c r="M139" s="527" t="e">
        <f aca="false">M138/M137</f>
        <v>#DIV/0!</v>
      </c>
      <c r="N139" s="527" t="e">
        <f aca="false">N138/N137</f>
        <v>#DIV/0!</v>
      </c>
      <c r="O139" s="516"/>
    </row>
    <row r="140" customFormat="false" ht="12.75" hidden="false" customHeight="true" outlineLevel="0" collapsed="false">
      <c r="O140" s="333"/>
    </row>
    <row r="141" customFormat="false" ht="12.75" hidden="false" customHeight="true" outlineLevel="0" collapsed="false">
      <c r="A141" s="98" t="n">
        <v>1999</v>
      </c>
      <c r="B141" s="501" t="s">
        <v>471</v>
      </c>
      <c r="C141" s="509" t="n">
        <v>159</v>
      </c>
      <c r="D141" s="510" t="n">
        <v>159</v>
      </c>
      <c r="E141" s="510" t="n">
        <v>169</v>
      </c>
      <c r="F141" s="510" t="n">
        <v>175</v>
      </c>
      <c r="G141" s="510" t="n">
        <v>158.667</v>
      </c>
      <c r="H141" s="510" t="n">
        <v>159</v>
      </c>
      <c r="I141" s="510" t="n">
        <v>158.7</v>
      </c>
      <c r="J141" s="510" t="n">
        <v>159</v>
      </c>
      <c r="K141" s="510" t="n">
        <v>159</v>
      </c>
      <c r="L141" s="510" t="n">
        <v>162</v>
      </c>
      <c r="M141" s="510" t="n">
        <v>162</v>
      </c>
      <c r="N141" s="511" t="n">
        <v>159</v>
      </c>
      <c r="O141" s="513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  <c r="DQ141" s="98"/>
      <c r="DR141" s="98"/>
      <c r="DS141" s="98"/>
      <c r="DT141" s="98"/>
      <c r="DU141" s="98"/>
      <c r="DV141" s="98"/>
      <c r="DW141" s="98"/>
      <c r="DX141" s="98"/>
      <c r="DY141" s="98"/>
      <c r="DZ141" s="98"/>
      <c r="EA141" s="98"/>
      <c r="EB141" s="98"/>
      <c r="EC141" s="98"/>
      <c r="ED141" s="98"/>
      <c r="EE141" s="98"/>
      <c r="EF141" s="98"/>
      <c r="EG141" s="98"/>
      <c r="EH141" s="98"/>
      <c r="EI141" s="98"/>
      <c r="EJ141" s="98"/>
      <c r="EK141" s="98"/>
      <c r="EL141" s="98"/>
      <c r="EM141" s="98"/>
      <c r="EN141" s="98"/>
      <c r="EO141" s="98"/>
      <c r="EP141" s="98"/>
      <c r="EQ141" s="98"/>
      <c r="ER141" s="98"/>
      <c r="ES141" s="98"/>
      <c r="ET141" s="98"/>
      <c r="EU141" s="98"/>
      <c r="EV141" s="98"/>
      <c r="EW141" s="98"/>
      <c r="EX141" s="98"/>
      <c r="EY141" s="98"/>
      <c r="EZ141" s="98"/>
      <c r="FA141" s="98"/>
      <c r="FB141" s="98"/>
      <c r="FC141" s="98"/>
      <c r="FD141" s="98"/>
      <c r="FE141" s="98"/>
      <c r="FF141" s="98"/>
      <c r="FG141" s="98"/>
      <c r="FH141" s="98"/>
      <c r="FI141" s="98"/>
      <c r="FJ141" s="98"/>
      <c r="FK141" s="98"/>
      <c r="FL141" s="98"/>
      <c r="FM141" s="98"/>
      <c r="FN141" s="98"/>
      <c r="FO141" s="98"/>
      <c r="FP141" s="98"/>
      <c r="FQ141" s="98"/>
      <c r="FR141" s="98"/>
      <c r="FS141" s="98"/>
      <c r="FT141" s="98"/>
      <c r="FU141" s="98"/>
      <c r="FV141" s="98"/>
      <c r="FW141" s="98"/>
      <c r="FX141" s="98"/>
      <c r="FY141" s="98"/>
      <c r="FZ141" s="98"/>
      <c r="GA141" s="98"/>
      <c r="GB141" s="98"/>
      <c r="GC141" s="98"/>
      <c r="GD141" s="98"/>
      <c r="GE141" s="98"/>
      <c r="GF141" s="98"/>
      <c r="GG141" s="98"/>
      <c r="GH141" s="98"/>
      <c r="GI141" s="98"/>
      <c r="GJ141" s="98"/>
      <c r="GK141" s="98"/>
      <c r="GL141" s="98"/>
      <c r="GM141" s="98"/>
      <c r="GN141" s="98"/>
      <c r="GO141" s="98"/>
      <c r="GP141" s="98"/>
      <c r="GQ141" s="98"/>
      <c r="GR141" s="98"/>
      <c r="GS141" s="98"/>
      <c r="GT141" s="98"/>
      <c r="GU141" s="98"/>
      <c r="GV141" s="98"/>
      <c r="GW141" s="98"/>
      <c r="GX141" s="98"/>
      <c r="GY141" s="98"/>
      <c r="GZ141" s="98"/>
      <c r="HA141" s="98"/>
      <c r="HB141" s="98"/>
      <c r="HC141" s="98"/>
      <c r="HD141" s="98"/>
      <c r="HE141" s="98"/>
      <c r="HF141" s="98"/>
      <c r="HG141" s="98"/>
      <c r="HH141" s="98"/>
      <c r="HI141" s="98"/>
      <c r="HJ141" s="98"/>
      <c r="HK141" s="98"/>
      <c r="HL141" s="98"/>
      <c r="HM141" s="98"/>
      <c r="HN141" s="98"/>
      <c r="HO141" s="98"/>
      <c r="HP141" s="98"/>
      <c r="HQ141" s="98"/>
      <c r="HR141" s="98"/>
      <c r="HS141" s="98"/>
      <c r="HT141" s="98"/>
      <c r="HU141" s="98"/>
      <c r="HV141" s="98"/>
      <c r="HW141" s="98"/>
      <c r="HX141" s="98"/>
      <c r="HY141" s="98"/>
      <c r="HZ141" s="98"/>
      <c r="IA141" s="98"/>
      <c r="IB141" s="98"/>
      <c r="IC141" s="98"/>
      <c r="ID141" s="98"/>
      <c r="IE141" s="98"/>
      <c r="IF141" s="98"/>
      <c r="IG141" s="98"/>
      <c r="IH141" s="98"/>
      <c r="II141" s="98"/>
      <c r="IJ141" s="98"/>
      <c r="IK141" s="98"/>
      <c r="IL141" s="98"/>
      <c r="IM141" s="98"/>
      <c r="IN141" s="98"/>
      <c r="IO141" s="98"/>
      <c r="IP141" s="98"/>
      <c r="IQ141" s="98"/>
      <c r="IR141" s="98"/>
      <c r="IS141" s="98"/>
      <c r="IT141" s="98"/>
      <c r="IU141" s="98"/>
      <c r="IV141" s="98"/>
      <c r="IW141" s="98"/>
    </row>
    <row r="142" customFormat="false" ht="12.75" hidden="false" customHeight="true" outlineLevel="0" collapsed="false">
      <c r="A142" s="98"/>
      <c r="B142" s="294" t="s">
        <v>472</v>
      </c>
      <c r="C142" s="535" t="n">
        <v>81.911</v>
      </c>
      <c r="D142" s="135" t="n">
        <v>82.7</v>
      </c>
      <c r="E142" s="135" t="n">
        <v>109.864</v>
      </c>
      <c r="F142" s="135" t="n">
        <v>112</v>
      </c>
      <c r="G142" s="135" t="n">
        <v>96.974</v>
      </c>
      <c r="H142" s="135" t="n">
        <v>97.676</v>
      </c>
      <c r="I142" s="135" t="n">
        <v>100</v>
      </c>
      <c r="J142" s="135" t="n">
        <v>102.6</v>
      </c>
      <c r="K142" s="135" t="n">
        <v>99.3</v>
      </c>
      <c r="L142" s="135" t="n">
        <f aca="false">210-98-32</f>
        <v>80</v>
      </c>
      <c r="M142" s="135" t="n">
        <f aca="false">205-98</f>
        <v>107</v>
      </c>
      <c r="N142" s="536" t="n">
        <v>140.674</v>
      </c>
      <c r="O142" s="513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98"/>
      <c r="DI142" s="98"/>
      <c r="DJ142" s="98"/>
      <c r="DK142" s="98"/>
      <c r="DL142" s="98"/>
      <c r="DM142" s="98"/>
      <c r="DN142" s="98"/>
      <c r="DO142" s="98"/>
      <c r="DP142" s="98"/>
      <c r="DQ142" s="98"/>
      <c r="DR142" s="98"/>
      <c r="DS142" s="98"/>
      <c r="DT142" s="98"/>
      <c r="DU142" s="98"/>
      <c r="DV142" s="98"/>
      <c r="DW142" s="98"/>
      <c r="DX142" s="98"/>
      <c r="DY142" s="98"/>
      <c r="DZ142" s="98"/>
      <c r="EA142" s="98"/>
      <c r="EB142" s="98"/>
      <c r="EC142" s="98"/>
      <c r="ED142" s="98"/>
      <c r="EE142" s="98"/>
      <c r="EF142" s="98"/>
      <c r="EG142" s="98"/>
      <c r="EH142" s="98"/>
      <c r="EI142" s="98"/>
      <c r="EJ142" s="98"/>
      <c r="EK142" s="98"/>
      <c r="EL142" s="98"/>
      <c r="EM142" s="98"/>
      <c r="EN142" s="98"/>
      <c r="EO142" s="98"/>
      <c r="EP142" s="98"/>
      <c r="EQ142" s="98"/>
      <c r="ER142" s="98"/>
      <c r="ES142" s="98"/>
      <c r="ET142" s="98"/>
      <c r="EU142" s="98"/>
      <c r="EV142" s="98"/>
      <c r="EW142" s="98"/>
      <c r="EX142" s="98"/>
      <c r="EY142" s="98"/>
      <c r="EZ142" s="98"/>
      <c r="FA142" s="98"/>
      <c r="FB142" s="98"/>
      <c r="FC142" s="98"/>
      <c r="FD142" s="98"/>
      <c r="FE142" s="98"/>
      <c r="FF142" s="98"/>
      <c r="FG142" s="98"/>
      <c r="FH142" s="98"/>
      <c r="FI142" s="98"/>
      <c r="FJ142" s="98"/>
      <c r="FK142" s="98"/>
      <c r="FL142" s="98"/>
      <c r="FM142" s="98"/>
      <c r="FN142" s="98"/>
      <c r="FO142" s="98"/>
      <c r="FP142" s="98"/>
      <c r="FQ142" s="98"/>
      <c r="FR142" s="98"/>
      <c r="FS142" s="98"/>
      <c r="FT142" s="98"/>
      <c r="FU142" s="98"/>
      <c r="FV142" s="98"/>
      <c r="FW142" s="98"/>
      <c r="FX142" s="98"/>
      <c r="FY142" s="98"/>
      <c r="FZ142" s="98"/>
      <c r="GA142" s="98"/>
      <c r="GB142" s="98"/>
      <c r="GC142" s="98"/>
      <c r="GD142" s="98"/>
      <c r="GE142" s="98"/>
      <c r="GF142" s="98"/>
      <c r="GG142" s="98"/>
      <c r="GH142" s="98"/>
      <c r="GI142" s="98"/>
      <c r="GJ142" s="98"/>
      <c r="GK142" s="98"/>
      <c r="GL142" s="98"/>
      <c r="GM142" s="98"/>
      <c r="GN142" s="98"/>
      <c r="GO142" s="98"/>
      <c r="GP142" s="98"/>
      <c r="GQ142" s="98"/>
      <c r="GR142" s="98"/>
      <c r="GS142" s="98"/>
      <c r="GT142" s="98"/>
      <c r="GU142" s="98"/>
      <c r="GV142" s="98"/>
      <c r="GW142" s="98"/>
      <c r="GX142" s="98"/>
      <c r="GY142" s="98"/>
      <c r="GZ142" s="98"/>
      <c r="HA142" s="98"/>
      <c r="HB142" s="98"/>
      <c r="HC142" s="98"/>
      <c r="HD142" s="98"/>
      <c r="HE142" s="98"/>
      <c r="HF142" s="98"/>
      <c r="HG142" s="98"/>
      <c r="HH142" s="98"/>
      <c r="HI142" s="98"/>
      <c r="HJ142" s="98"/>
      <c r="HK142" s="98"/>
      <c r="HL142" s="98"/>
      <c r="HM142" s="98"/>
      <c r="HN142" s="98"/>
      <c r="HO142" s="98"/>
      <c r="HP142" s="98"/>
      <c r="HQ142" s="98"/>
      <c r="HR142" s="98"/>
      <c r="HS142" s="98"/>
      <c r="HT142" s="98"/>
      <c r="HU142" s="98"/>
      <c r="HV142" s="98"/>
      <c r="HW142" s="98"/>
      <c r="HX142" s="98"/>
      <c r="HY142" s="98"/>
      <c r="HZ142" s="98"/>
      <c r="IA142" s="98"/>
      <c r="IB142" s="98"/>
      <c r="IC142" s="98"/>
      <c r="ID142" s="98"/>
      <c r="IE142" s="98"/>
      <c r="IF142" s="98"/>
      <c r="IG142" s="98"/>
      <c r="IH142" s="98"/>
      <c r="II142" s="98"/>
      <c r="IJ142" s="98"/>
      <c r="IK142" s="98"/>
      <c r="IL142" s="98"/>
      <c r="IM142" s="98"/>
      <c r="IN142" s="98"/>
      <c r="IO142" s="98"/>
      <c r="IP142" s="98"/>
      <c r="IQ142" s="98"/>
      <c r="IR142" s="98"/>
      <c r="IS142" s="98"/>
      <c r="IT142" s="98"/>
      <c r="IU142" s="98"/>
      <c r="IV142" s="98"/>
      <c r="IW142" s="98"/>
    </row>
    <row r="143" customFormat="false" ht="12.75" hidden="false" customHeight="true" outlineLevel="0" collapsed="false">
      <c r="B143" s="294" t="s">
        <v>118</v>
      </c>
      <c r="C143" s="526" t="n">
        <f aca="false">C142/C141</f>
        <v>0.515163522012579</v>
      </c>
      <c r="D143" s="527" t="n">
        <f aca="false">D142/D141</f>
        <v>0.520125786163522</v>
      </c>
      <c r="E143" s="527" t="n">
        <f aca="false">E142/E141</f>
        <v>0.650082840236686</v>
      </c>
      <c r="F143" s="527" t="n">
        <f aca="false">F142/F141</f>
        <v>0.64</v>
      </c>
      <c r="G143" s="527" t="n">
        <f aca="false">G142/G141</f>
        <v>0.611179388278596</v>
      </c>
      <c r="H143" s="527" t="n">
        <f aca="false">H142/H141</f>
        <v>0.614314465408805</v>
      </c>
      <c r="I143" s="527" t="n">
        <f aca="false">I142/I141</f>
        <v>0.630119722747322</v>
      </c>
      <c r="J143" s="527" t="n">
        <f aca="false">J142/J141</f>
        <v>0.645283018867925</v>
      </c>
      <c r="K143" s="527" t="n">
        <f aca="false">K142/K141</f>
        <v>0.624528301886792</v>
      </c>
      <c r="L143" s="527" t="n">
        <f aca="false">L142/L141</f>
        <v>0.493827160493827</v>
      </c>
      <c r="M143" s="527" t="n">
        <f aca="false">M142/M141</f>
        <v>0.660493827160494</v>
      </c>
      <c r="N143" s="525" t="n">
        <f aca="false">N142/N141</f>
        <v>0.88474213836478</v>
      </c>
      <c r="O143" s="516"/>
    </row>
    <row r="144" customFormat="false" ht="12.75" hidden="false" customHeight="true" outlineLevel="0" collapsed="false">
      <c r="O144" s="333"/>
    </row>
    <row r="145" customFormat="false" ht="12.75" hidden="false" customHeight="true" outlineLevel="0" collapsed="false">
      <c r="A145" s="294" t="n">
        <v>1998</v>
      </c>
      <c r="B145" s="501" t="s">
        <v>471</v>
      </c>
      <c r="C145" s="328" t="n">
        <v>215</v>
      </c>
      <c r="D145" s="329" t="n">
        <v>215</v>
      </c>
      <c r="E145" s="329" t="n">
        <v>215</v>
      </c>
      <c r="F145" s="329" t="n">
        <v>304</v>
      </c>
      <c r="G145" s="329" t="n">
        <v>185.6</v>
      </c>
      <c r="H145" s="329" t="n">
        <v>159</v>
      </c>
      <c r="I145" s="329" t="n">
        <v>159</v>
      </c>
      <c r="J145" s="329" t="n">
        <v>159</v>
      </c>
      <c r="K145" s="329" t="n">
        <v>159</v>
      </c>
      <c r="L145" s="329" t="n">
        <v>159</v>
      </c>
      <c r="M145" s="329" t="n">
        <v>192.4</v>
      </c>
      <c r="N145" s="331" t="n">
        <v>159</v>
      </c>
      <c r="O145" s="513"/>
    </row>
    <row r="146" customFormat="false" ht="12.75" hidden="false" customHeight="true" outlineLevel="0" collapsed="false">
      <c r="B146" s="294" t="s">
        <v>472</v>
      </c>
      <c r="C146" s="332" t="n">
        <v>92.8</v>
      </c>
      <c r="D146" s="333" t="n">
        <v>129.5</v>
      </c>
      <c r="E146" s="333" t="n">
        <v>128.2</v>
      </c>
      <c r="F146" s="333" t="n">
        <v>135.8</v>
      </c>
      <c r="G146" s="333" t="n">
        <v>132.3</v>
      </c>
      <c r="H146" s="333" t="n">
        <v>98.2</v>
      </c>
      <c r="I146" s="333" t="n">
        <v>100.5</v>
      </c>
      <c r="J146" s="333" t="n">
        <v>98</v>
      </c>
      <c r="K146" s="333" t="n">
        <v>93</v>
      </c>
      <c r="L146" s="333" t="n">
        <v>83.6</v>
      </c>
      <c r="M146" s="333" t="n">
        <v>96.3</v>
      </c>
      <c r="N146" s="337" t="n">
        <v>74.6</v>
      </c>
      <c r="O146" s="513"/>
    </row>
    <row r="147" customFormat="false" ht="12.75" hidden="false" customHeight="true" outlineLevel="0" collapsed="false">
      <c r="B147" s="294" t="s">
        <v>118</v>
      </c>
      <c r="C147" s="526" t="n">
        <f aca="false">C146/C145</f>
        <v>0.431627906976744</v>
      </c>
      <c r="D147" s="527" t="n">
        <f aca="false">D146/D145</f>
        <v>0.602325581395349</v>
      </c>
      <c r="E147" s="527" t="n">
        <f aca="false">E146/E145</f>
        <v>0.596279069767442</v>
      </c>
      <c r="F147" s="527" t="n">
        <f aca="false">F146/F145</f>
        <v>0.44671052631579</v>
      </c>
      <c r="G147" s="527" t="n">
        <f aca="false">G146/G145</f>
        <v>0.712823275862069</v>
      </c>
      <c r="H147" s="527" t="n">
        <f aca="false">H146/H145</f>
        <v>0.617610062893082</v>
      </c>
      <c r="I147" s="527" t="n">
        <f aca="false">I146/I145</f>
        <v>0.632075471698113</v>
      </c>
      <c r="J147" s="527" t="n">
        <f aca="false">J146/J145</f>
        <v>0.616352201257862</v>
      </c>
      <c r="K147" s="527" t="n">
        <f aca="false">K146/K145</f>
        <v>0.584905660377359</v>
      </c>
      <c r="L147" s="527" t="n">
        <f aca="false">L146/L145</f>
        <v>0.525786163522013</v>
      </c>
      <c r="M147" s="527" t="n">
        <f aca="false">M146/M145</f>
        <v>0.500519750519751</v>
      </c>
      <c r="N147" s="525" t="n">
        <f aca="false">N146/N145</f>
        <v>0.469182389937107</v>
      </c>
      <c r="O147" s="516"/>
    </row>
    <row r="148" customFormat="false" ht="12.75" hidden="false" customHeight="true" outlineLevel="0" collapsed="false">
      <c r="C148" s="516"/>
      <c r="D148" s="516"/>
      <c r="E148" s="516"/>
      <c r="F148" s="516"/>
      <c r="G148" s="516"/>
      <c r="H148" s="516"/>
      <c r="I148" s="516"/>
      <c r="J148" s="516"/>
      <c r="K148" s="516"/>
      <c r="L148" s="516"/>
      <c r="M148" s="516"/>
      <c r="N148" s="516"/>
      <c r="O148" s="516"/>
    </row>
    <row r="149" customFormat="false" ht="12.75" hidden="false" customHeight="true" outlineLevel="0" collapsed="false">
      <c r="A149" s="294" t="n">
        <v>1997</v>
      </c>
      <c r="B149" s="501" t="s">
        <v>471</v>
      </c>
      <c r="C149" s="528" t="n">
        <v>355</v>
      </c>
      <c r="D149" s="529" t="n">
        <v>355</v>
      </c>
      <c r="E149" s="529" t="n">
        <v>357.7</v>
      </c>
      <c r="F149" s="529" t="n">
        <v>370</v>
      </c>
      <c r="G149" s="529" t="n">
        <v>360</v>
      </c>
      <c r="H149" s="529" t="n">
        <v>355</v>
      </c>
      <c r="I149" s="529" t="n">
        <v>355</v>
      </c>
      <c r="J149" s="529" t="n">
        <v>355</v>
      </c>
      <c r="K149" s="529" t="n">
        <v>355</v>
      </c>
      <c r="L149" s="529" t="n">
        <v>359.5</v>
      </c>
      <c r="M149" s="529" t="n">
        <v>357.2</v>
      </c>
      <c r="N149" s="530" t="n">
        <v>370</v>
      </c>
      <c r="O149" s="513"/>
      <c r="P149" s="360"/>
      <c r="Q149" s="360"/>
      <c r="R149" s="360"/>
      <c r="S149" s="360"/>
      <c r="T149" s="360"/>
      <c r="U149" s="360"/>
      <c r="V149" s="360"/>
      <c r="W149" s="360"/>
      <c r="X149" s="360"/>
      <c r="Y149" s="360"/>
      <c r="Z149" s="360"/>
      <c r="AA149" s="360"/>
      <c r="AB149" s="360"/>
      <c r="AC149" s="360"/>
      <c r="AD149" s="360"/>
      <c r="AE149" s="360"/>
      <c r="AF149" s="360"/>
      <c r="AG149" s="360"/>
      <c r="AH149" s="360"/>
      <c r="AI149" s="360"/>
      <c r="AJ149" s="360"/>
      <c r="AK149" s="360"/>
      <c r="AL149" s="360"/>
      <c r="AM149" s="360"/>
      <c r="AN149" s="360"/>
      <c r="AO149" s="360"/>
      <c r="AP149" s="360"/>
      <c r="AQ149" s="360"/>
      <c r="AR149" s="360"/>
    </row>
    <row r="150" customFormat="false" ht="12.75" hidden="false" customHeight="true" outlineLevel="0" collapsed="false">
      <c r="B150" s="294" t="s">
        <v>472</v>
      </c>
      <c r="C150" s="531" t="n">
        <v>207.8</v>
      </c>
      <c r="D150" s="360" t="n">
        <v>233.7</v>
      </c>
      <c r="E150" s="360" t="n">
        <v>257.3</v>
      </c>
      <c r="F150" s="360" t="n">
        <v>205.9</v>
      </c>
      <c r="G150" s="360" t="n">
        <v>223.3</v>
      </c>
      <c r="H150" s="360" t="n">
        <v>220.2</v>
      </c>
      <c r="I150" s="360" t="n">
        <v>195.6</v>
      </c>
      <c r="J150" s="360" t="n">
        <v>191.9</v>
      </c>
      <c r="K150" s="360" t="n">
        <v>191.3</v>
      </c>
      <c r="L150" s="360" t="n">
        <v>271.8</v>
      </c>
      <c r="M150" s="360" t="n">
        <v>152.6</v>
      </c>
      <c r="N150" s="532" t="n">
        <v>207.1</v>
      </c>
      <c r="O150" s="513"/>
      <c r="P150" s="360"/>
      <c r="Q150" s="360"/>
      <c r="R150" s="360"/>
      <c r="S150" s="360"/>
      <c r="T150" s="360"/>
      <c r="U150" s="360"/>
      <c r="V150" s="360"/>
      <c r="W150" s="360"/>
      <c r="X150" s="360"/>
      <c r="Y150" s="360"/>
      <c r="Z150" s="360"/>
      <c r="AA150" s="360"/>
      <c r="AB150" s="360"/>
      <c r="AC150" s="360"/>
      <c r="AD150" s="360"/>
      <c r="AE150" s="360"/>
      <c r="AF150" s="360"/>
      <c r="AG150" s="360"/>
      <c r="AH150" s="360"/>
      <c r="AI150" s="360"/>
      <c r="AJ150" s="360"/>
      <c r="AK150" s="360"/>
      <c r="AL150" s="360"/>
      <c r="AM150" s="360"/>
      <c r="AN150" s="360"/>
      <c r="AO150" s="360"/>
      <c r="AP150" s="360"/>
      <c r="AQ150" s="360"/>
      <c r="AR150" s="360"/>
    </row>
    <row r="151" customFormat="false" ht="12.75" hidden="false" customHeight="true" outlineLevel="0" collapsed="false">
      <c r="B151" s="294" t="s">
        <v>118</v>
      </c>
      <c r="C151" s="526" t="n">
        <f aca="false">C150/C149</f>
        <v>0.585352112676056</v>
      </c>
      <c r="D151" s="527" t="n">
        <f aca="false">D150/D149</f>
        <v>0.65830985915493</v>
      </c>
      <c r="E151" s="527" t="n">
        <f aca="false">E150/E149</f>
        <v>0.719317864131954</v>
      </c>
      <c r="F151" s="527" t="n">
        <f aca="false">F150/F149</f>
        <v>0.556486486486487</v>
      </c>
      <c r="G151" s="527" t="n">
        <f aca="false">G150/G149</f>
        <v>0.620277777777778</v>
      </c>
      <c r="H151" s="527" t="n">
        <f aca="false">H150/H149</f>
        <v>0.620281690140845</v>
      </c>
      <c r="I151" s="527" t="n">
        <f aca="false">I150/I149</f>
        <v>0.550985915492958</v>
      </c>
      <c r="J151" s="527" t="n">
        <f aca="false">J150/J149</f>
        <v>0.54056338028169</v>
      </c>
      <c r="K151" s="527" t="n">
        <f aca="false">K150/K149</f>
        <v>0.53887323943662</v>
      </c>
      <c r="L151" s="527" t="n">
        <f aca="false">L150/L149</f>
        <v>0.756050069541029</v>
      </c>
      <c r="M151" s="527" t="n">
        <f aca="false">M150/M149</f>
        <v>0.427211646136618</v>
      </c>
      <c r="N151" s="525" t="n">
        <f aca="false">N150/N149</f>
        <v>0.55972972972973</v>
      </c>
      <c r="O151" s="516"/>
    </row>
    <row r="152" customFormat="false" ht="12.75" hidden="false" customHeight="true" outlineLevel="0" collapsed="false">
      <c r="O152" s="333"/>
    </row>
    <row r="153" customFormat="false" ht="12.75" hidden="true" customHeight="true" outlineLevel="0" collapsed="false">
      <c r="B153" s="499" t="s">
        <v>475</v>
      </c>
      <c r="O153" s="333"/>
    </row>
    <row r="154" customFormat="false" ht="12.75" hidden="true" customHeight="true" outlineLevel="0" collapsed="false">
      <c r="A154" s="98" t="n">
        <v>2000</v>
      </c>
      <c r="B154" s="501" t="s">
        <v>471</v>
      </c>
      <c r="O154" s="333"/>
    </row>
    <row r="155" customFormat="false" ht="12.75" hidden="true" customHeight="true" outlineLevel="0" collapsed="false">
      <c r="A155" s="98"/>
      <c r="B155" s="294" t="s">
        <v>472</v>
      </c>
      <c r="C155" s="537" t="n">
        <f aca="false">C138+C133+C129</f>
        <v>113.066721664275</v>
      </c>
      <c r="D155" s="537" t="n">
        <f aca="false">D138+D133+D129</f>
        <v>157.294859287054</v>
      </c>
      <c r="E155" s="537" t="n">
        <f aca="false">E138+E133+E129</f>
        <v>102.240880769231</v>
      </c>
      <c r="F155" s="537" t="n">
        <f aca="false">F138+F133+F129</f>
        <v>87.8820769230769</v>
      </c>
      <c r="O155" s="333"/>
    </row>
    <row r="156" customFormat="false" ht="12.75" hidden="true" customHeight="true" outlineLevel="0" collapsed="false">
      <c r="B156" s="294" t="s">
        <v>118</v>
      </c>
      <c r="O156" s="333"/>
    </row>
    <row r="157" customFormat="false" ht="12.75" hidden="true" customHeight="true" outlineLevel="0" collapsed="false">
      <c r="O157" s="333"/>
    </row>
    <row r="158" customFormat="false" ht="12.75" hidden="true" customHeight="true" outlineLevel="0" collapsed="false">
      <c r="A158" s="98" t="n">
        <v>1999</v>
      </c>
      <c r="B158" s="501" t="s">
        <v>471</v>
      </c>
      <c r="O158" s="333"/>
    </row>
    <row r="159" customFormat="false" ht="12.75" hidden="true" customHeight="true" outlineLevel="0" collapsed="false">
      <c r="A159" s="98"/>
      <c r="B159" s="294" t="s">
        <v>472</v>
      </c>
      <c r="C159" s="537" t="n">
        <f aca="false">C142+C138+C133</f>
        <v>194.463941176471</v>
      </c>
      <c r="D159" s="537" t="n">
        <f aca="false">D142+D138+D133</f>
        <v>239.154615384615</v>
      </c>
      <c r="E159" s="537" t="n">
        <f aca="false">E142+E138+E133</f>
        <v>211.503230769231</v>
      </c>
      <c r="F159" s="537" t="n">
        <f aca="false">F142+F138+F133</f>
        <v>199.282076923077</v>
      </c>
      <c r="G159" s="537" t="n">
        <f aca="false">G142+G138+G133</f>
        <v>97.7201538461539</v>
      </c>
      <c r="H159" s="537" t="n">
        <f aca="false">H142+H138+H133</f>
        <v>98.6385</v>
      </c>
      <c r="I159" s="537" t="n">
        <f aca="false">I142+I138+I133</f>
        <v>100.9825</v>
      </c>
      <c r="J159" s="537" t="n">
        <f aca="false">J142+J138+J133</f>
        <v>103.0475</v>
      </c>
      <c r="K159" s="537" t="n">
        <f aca="false">K142+K138+K133</f>
        <v>99.9475</v>
      </c>
      <c r="L159" s="537" t="n">
        <f aca="false">L142+L138+L133</f>
        <v>80.425</v>
      </c>
      <c r="M159" s="537" t="n">
        <f aca="false">M142+M138+M133</f>
        <v>108.01646090535</v>
      </c>
      <c r="N159" s="537" t="n">
        <f aca="false">N142+N138+N133</f>
        <v>141.315463414634</v>
      </c>
      <c r="O159" s="333"/>
    </row>
    <row r="160" customFormat="false" ht="12.75" hidden="true" customHeight="true" outlineLevel="0" collapsed="false">
      <c r="B160" s="294" t="s">
        <v>118</v>
      </c>
      <c r="O160" s="333"/>
    </row>
    <row r="161" customFormat="false" ht="12.75" hidden="true" customHeight="true" outlineLevel="0" collapsed="false">
      <c r="O161" s="333"/>
    </row>
    <row r="162" customFormat="false" ht="12.75" hidden="true" customHeight="true" outlineLevel="0" collapsed="false">
      <c r="A162" s="294" t="n">
        <v>1998</v>
      </c>
      <c r="B162" s="501" t="s">
        <v>471</v>
      </c>
      <c r="O162" s="333"/>
    </row>
    <row r="163" customFormat="false" ht="12.75" hidden="true" customHeight="true" outlineLevel="0" collapsed="false">
      <c r="B163" s="294" t="s">
        <v>472</v>
      </c>
      <c r="C163" s="537" t="n">
        <f aca="false">C146+C142+C138</f>
        <v>286.911</v>
      </c>
      <c r="D163" s="537" t="n">
        <f aca="false">D146+D142+D138</f>
        <v>368</v>
      </c>
      <c r="E163" s="537" t="n">
        <f aca="false">E146+E142+E138</f>
        <v>339.064</v>
      </c>
      <c r="F163" s="537" t="n">
        <f aca="false">F146+F142+F138</f>
        <v>334.319</v>
      </c>
      <c r="G163" s="537" t="n">
        <f aca="false">G146+G142+G138</f>
        <v>229.274</v>
      </c>
      <c r="H163" s="537" t="n">
        <f aca="false">H146+H142+H138</f>
        <v>195.876</v>
      </c>
      <c r="I163" s="537" t="n">
        <f aca="false">I146+I142+I138</f>
        <v>200.5</v>
      </c>
      <c r="J163" s="537" t="n">
        <f aca="false">J146+J142+J138</f>
        <v>200.6</v>
      </c>
      <c r="K163" s="537" t="n">
        <f aca="false">K146+K142+K138</f>
        <v>192.3</v>
      </c>
      <c r="L163" s="537" t="n">
        <f aca="false">L146+L142+L138</f>
        <v>163.6</v>
      </c>
      <c r="M163" s="537" t="n">
        <f aca="false">M146+M142+M138</f>
        <v>203.3</v>
      </c>
      <c r="N163" s="537" t="n">
        <f aca="false">N146+N142+N138</f>
        <v>215.274</v>
      </c>
      <c r="O163" s="333"/>
    </row>
    <row r="164" customFormat="false" ht="12.75" hidden="true" customHeight="true" outlineLevel="0" collapsed="false">
      <c r="B164" s="294" t="s">
        <v>118</v>
      </c>
      <c r="O164" s="333"/>
    </row>
    <row r="165" customFormat="false" ht="12.75" hidden="true" customHeight="true" outlineLevel="0" collapsed="false">
      <c r="O165" s="333"/>
    </row>
    <row r="166" customFormat="false" ht="12.75" hidden="true" customHeight="true" outlineLevel="0" collapsed="false">
      <c r="O166" s="333"/>
    </row>
    <row r="167" customFormat="false" ht="12.75" hidden="true" customHeight="true" outlineLevel="0" collapsed="false">
      <c r="O167" s="333"/>
    </row>
    <row r="168" customFormat="false" ht="12.75" hidden="true" customHeight="true" outlineLevel="0" collapsed="false">
      <c r="O168" s="333"/>
    </row>
    <row r="169" customFormat="false" ht="12.75" hidden="false" customHeight="true" outlineLevel="0" collapsed="false">
      <c r="O169" s="333"/>
    </row>
    <row r="170" customFormat="false" ht="12.75" hidden="false" customHeight="true" outlineLevel="0" collapsed="false">
      <c r="A170" s="496"/>
      <c r="B170" s="497" t="s">
        <v>49</v>
      </c>
      <c r="C170" s="498"/>
      <c r="D170" s="498"/>
      <c r="E170" s="498"/>
      <c r="F170" s="498"/>
      <c r="G170" s="498"/>
      <c r="H170" s="498"/>
      <c r="I170" s="498"/>
      <c r="J170" s="498"/>
      <c r="K170" s="498"/>
      <c r="L170" s="498"/>
      <c r="M170" s="498"/>
      <c r="N170" s="498"/>
      <c r="O170" s="524"/>
      <c r="P170" s="496"/>
      <c r="Q170" s="496"/>
      <c r="R170" s="496"/>
      <c r="S170" s="496"/>
      <c r="T170" s="496"/>
      <c r="U170" s="496"/>
      <c r="V170" s="496"/>
      <c r="W170" s="496"/>
      <c r="X170" s="496"/>
      <c r="Y170" s="496"/>
      <c r="Z170" s="496"/>
      <c r="AA170" s="496"/>
      <c r="AB170" s="496"/>
      <c r="AC170" s="496"/>
      <c r="AD170" s="496"/>
      <c r="AE170" s="496"/>
      <c r="AF170" s="496"/>
      <c r="AG170" s="496"/>
      <c r="AH170" s="496"/>
      <c r="AI170" s="496"/>
      <c r="AJ170" s="496"/>
      <c r="AK170" s="496"/>
      <c r="AL170" s="496"/>
      <c r="AM170" s="496"/>
      <c r="AN170" s="496"/>
      <c r="AO170" s="496"/>
      <c r="AP170" s="496"/>
      <c r="AQ170" s="496"/>
      <c r="AR170" s="496"/>
      <c r="AS170" s="496"/>
      <c r="AT170" s="496"/>
      <c r="AU170" s="496"/>
      <c r="AV170" s="496"/>
      <c r="AW170" s="496"/>
      <c r="AX170" s="496"/>
      <c r="AY170" s="496"/>
      <c r="AZ170" s="496"/>
      <c r="BA170" s="496"/>
      <c r="BB170" s="496"/>
      <c r="BC170" s="496"/>
      <c r="BD170" s="496"/>
      <c r="BE170" s="496"/>
      <c r="BF170" s="496"/>
      <c r="BG170" s="496"/>
      <c r="BH170" s="496"/>
      <c r="BI170" s="496"/>
      <c r="BJ170" s="496"/>
      <c r="BK170" s="496"/>
      <c r="BL170" s="496"/>
      <c r="BM170" s="496"/>
      <c r="BN170" s="496"/>
      <c r="BO170" s="496"/>
      <c r="BP170" s="496"/>
      <c r="BQ170" s="496"/>
      <c r="BR170" s="496"/>
      <c r="BS170" s="496"/>
      <c r="BT170" s="496"/>
      <c r="BU170" s="496"/>
      <c r="BV170" s="496"/>
      <c r="BW170" s="496"/>
      <c r="BX170" s="496"/>
      <c r="BY170" s="496"/>
      <c r="BZ170" s="496"/>
      <c r="CA170" s="496"/>
      <c r="CB170" s="496"/>
      <c r="CC170" s="496"/>
      <c r="CD170" s="496"/>
      <c r="CE170" s="496"/>
      <c r="CF170" s="496"/>
      <c r="CG170" s="496"/>
      <c r="CH170" s="496"/>
      <c r="CI170" s="496"/>
      <c r="CJ170" s="496"/>
      <c r="CK170" s="496"/>
      <c r="CL170" s="496"/>
      <c r="CM170" s="496"/>
      <c r="CN170" s="496"/>
      <c r="CO170" s="496"/>
      <c r="CP170" s="496"/>
      <c r="CQ170" s="496"/>
      <c r="CR170" s="496"/>
      <c r="CS170" s="496"/>
      <c r="CT170" s="496"/>
      <c r="CU170" s="496"/>
      <c r="CV170" s="496"/>
      <c r="CW170" s="496"/>
      <c r="CX170" s="496"/>
      <c r="CY170" s="496"/>
      <c r="CZ170" s="496"/>
      <c r="DA170" s="496"/>
      <c r="DB170" s="496"/>
      <c r="DC170" s="496"/>
      <c r="DD170" s="496"/>
      <c r="DE170" s="496"/>
      <c r="DF170" s="496"/>
      <c r="DG170" s="496"/>
      <c r="DH170" s="496"/>
      <c r="DI170" s="496"/>
      <c r="DJ170" s="496"/>
      <c r="DK170" s="496"/>
      <c r="DL170" s="496"/>
      <c r="DM170" s="496"/>
      <c r="DN170" s="496"/>
      <c r="DO170" s="496"/>
      <c r="DP170" s="496"/>
      <c r="DQ170" s="496"/>
      <c r="DR170" s="496"/>
      <c r="DS170" s="496"/>
      <c r="DT170" s="496"/>
      <c r="DU170" s="496"/>
      <c r="DV170" s="496"/>
      <c r="DW170" s="496"/>
      <c r="DX170" s="496"/>
      <c r="DY170" s="496"/>
      <c r="DZ170" s="496"/>
      <c r="EA170" s="496"/>
      <c r="EB170" s="496"/>
      <c r="EC170" s="496"/>
      <c r="ED170" s="496"/>
      <c r="EE170" s="496"/>
      <c r="EF170" s="496"/>
      <c r="EG170" s="496"/>
      <c r="EH170" s="496"/>
      <c r="EI170" s="496"/>
      <c r="EJ170" s="496"/>
      <c r="EK170" s="496"/>
      <c r="EL170" s="496"/>
      <c r="EM170" s="496"/>
      <c r="EN170" s="496"/>
      <c r="EO170" s="496"/>
      <c r="EP170" s="496"/>
      <c r="EQ170" s="496"/>
      <c r="ER170" s="496"/>
      <c r="ES170" s="496"/>
      <c r="ET170" s="496"/>
      <c r="EU170" s="496"/>
      <c r="EV170" s="496"/>
      <c r="EW170" s="496"/>
      <c r="EX170" s="496"/>
      <c r="EY170" s="496"/>
      <c r="EZ170" s="496"/>
      <c r="FA170" s="496"/>
      <c r="FB170" s="496"/>
      <c r="FC170" s="496"/>
      <c r="FD170" s="496"/>
      <c r="FE170" s="496"/>
      <c r="FF170" s="496"/>
      <c r="FG170" s="496"/>
      <c r="FH170" s="496"/>
      <c r="FI170" s="496"/>
      <c r="FJ170" s="496"/>
      <c r="FK170" s="496"/>
      <c r="FL170" s="496"/>
      <c r="FM170" s="496"/>
      <c r="FN170" s="496"/>
      <c r="FO170" s="496"/>
      <c r="FP170" s="496"/>
      <c r="FQ170" s="496"/>
      <c r="FR170" s="496"/>
      <c r="FS170" s="496"/>
      <c r="FT170" s="496"/>
      <c r="FU170" s="496"/>
      <c r="FV170" s="496"/>
      <c r="FW170" s="496"/>
      <c r="FX170" s="496"/>
      <c r="FY170" s="496"/>
      <c r="FZ170" s="496"/>
      <c r="GA170" s="496"/>
      <c r="GB170" s="496"/>
      <c r="GC170" s="496"/>
      <c r="GD170" s="496"/>
      <c r="GE170" s="496"/>
      <c r="GF170" s="496"/>
      <c r="GG170" s="496"/>
      <c r="GH170" s="496"/>
      <c r="GI170" s="496"/>
      <c r="GJ170" s="496"/>
      <c r="GK170" s="496"/>
      <c r="GL170" s="496"/>
      <c r="GM170" s="496"/>
      <c r="GN170" s="496"/>
      <c r="GO170" s="496"/>
      <c r="GP170" s="496"/>
      <c r="GQ170" s="496"/>
      <c r="GR170" s="496"/>
      <c r="GS170" s="496"/>
      <c r="GT170" s="496"/>
      <c r="GU170" s="496"/>
      <c r="GV170" s="496"/>
      <c r="GW170" s="496"/>
      <c r="GX170" s="496"/>
      <c r="GY170" s="496"/>
      <c r="GZ170" s="496"/>
      <c r="HA170" s="496"/>
      <c r="HB170" s="496"/>
      <c r="HC170" s="496"/>
      <c r="HD170" s="496"/>
      <c r="HE170" s="496"/>
      <c r="HF170" s="496"/>
      <c r="HG170" s="496"/>
      <c r="HH170" s="496"/>
      <c r="HI170" s="496"/>
      <c r="HJ170" s="496"/>
      <c r="HK170" s="496"/>
      <c r="HL170" s="496"/>
      <c r="HM170" s="496"/>
      <c r="HN170" s="496"/>
      <c r="HO170" s="496"/>
      <c r="HP170" s="496"/>
      <c r="HQ170" s="496"/>
      <c r="HR170" s="496"/>
      <c r="HS170" s="496"/>
      <c r="HT170" s="496"/>
      <c r="HU170" s="496"/>
      <c r="HV170" s="496"/>
      <c r="HW170" s="496"/>
      <c r="HX170" s="496"/>
      <c r="HY170" s="496"/>
      <c r="HZ170" s="496"/>
      <c r="IA170" s="496"/>
      <c r="IB170" s="496"/>
      <c r="IC170" s="496"/>
      <c r="ID170" s="496"/>
      <c r="IE170" s="496"/>
      <c r="IF170" s="496"/>
      <c r="IG170" s="496"/>
      <c r="IH170" s="496"/>
      <c r="II170" s="496"/>
      <c r="IJ170" s="496"/>
      <c r="IK170" s="496"/>
      <c r="IL170" s="496"/>
      <c r="IM170" s="496"/>
      <c r="IN170" s="496"/>
      <c r="IO170" s="496"/>
      <c r="IP170" s="496"/>
      <c r="IQ170" s="496"/>
      <c r="IR170" s="496"/>
      <c r="IS170" s="496"/>
      <c r="IT170" s="496"/>
      <c r="IU170" s="496"/>
      <c r="IV170" s="496"/>
      <c r="IW170" s="496"/>
    </row>
    <row r="171" customFormat="false" ht="12.75" hidden="false" customHeight="true" outlineLevel="0" collapsed="false">
      <c r="B171" s="499" t="s">
        <v>470</v>
      </c>
      <c r="C171" s="500" t="n">
        <f aca="false">(C174+C178+C182)/3</f>
        <v>0.747184511187164</v>
      </c>
      <c r="D171" s="500" t="n">
        <f aca="false">(D174+D178+D182)/3</f>
        <v>0.662469032072019</v>
      </c>
      <c r="E171" s="500" t="n">
        <f aca="false">(E174+E178+E182)/3</f>
        <v>1.29520896177302</v>
      </c>
      <c r="F171" s="500" t="n">
        <f aca="false">(F174+F178+F182)/3</f>
        <v>0.781102789358745</v>
      </c>
      <c r="G171" s="500" t="n">
        <f aca="false">(G186+G178+G182)/3</f>
        <v>0.791541981584768</v>
      </c>
      <c r="H171" s="500" t="n">
        <f aca="false">(H186+H178+H182)/3</f>
        <v>0.717146227076079</v>
      </c>
      <c r="I171" s="500" t="n">
        <f aca="false">(I186+I178+I182)/3</f>
        <v>0.921050896020502</v>
      </c>
      <c r="J171" s="500" t="n">
        <f aca="false">(J186+J178+J182)/3</f>
        <v>0.753635552769062</v>
      </c>
      <c r="K171" s="500" t="n">
        <f aca="false">(K186+K178+K182)/3</f>
        <v>0.849262214939318</v>
      </c>
      <c r="L171" s="500" t="n">
        <f aca="false">(L186+L178+L182)/3</f>
        <v>0.839234837884822</v>
      </c>
      <c r="M171" s="500" t="n">
        <f aca="false">(M186+M178+M182)/3</f>
        <v>0.81788845554505</v>
      </c>
      <c r="N171" s="500" t="n">
        <f aca="false">(N186+N178+N182)/3</f>
        <v>0.664613109782507</v>
      </c>
      <c r="O171" s="333"/>
    </row>
    <row r="172" customFormat="false" ht="12.75" hidden="false" customHeight="true" outlineLevel="0" collapsed="false">
      <c r="A172" s="98" t="n">
        <v>2000</v>
      </c>
      <c r="B172" s="501" t="s">
        <v>471</v>
      </c>
      <c r="C172" s="509" t="n">
        <v>307</v>
      </c>
      <c r="D172" s="510" t="n">
        <v>333.2</v>
      </c>
      <c r="E172" s="510" t="n">
        <v>322</v>
      </c>
      <c r="F172" s="510" t="n">
        <v>322</v>
      </c>
      <c r="G172" s="510"/>
      <c r="H172" s="510"/>
      <c r="I172" s="510"/>
      <c r="J172" s="510"/>
      <c r="K172" s="510"/>
      <c r="L172" s="510"/>
      <c r="M172" s="510"/>
      <c r="N172" s="511"/>
      <c r="O172" s="512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8"/>
      <c r="BI172" s="98"/>
      <c r="BJ172" s="98"/>
      <c r="BK172" s="98"/>
      <c r="BL172" s="98"/>
      <c r="BM172" s="98"/>
      <c r="BN172" s="98"/>
      <c r="BO172" s="98"/>
      <c r="BP172" s="98"/>
      <c r="BQ172" s="98"/>
      <c r="BR172" s="98"/>
      <c r="BS172" s="98"/>
      <c r="BT172" s="98"/>
      <c r="BU172" s="98"/>
      <c r="BV172" s="98"/>
      <c r="BW172" s="98"/>
      <c r="BX172" s="98"/>
      <c r="BY172" s="98"/>
      <c r="BZ172" s="98"/>
      <c r="CA172" s="98"/>
      <c r="CB172" s="98"/>
      <c r="CC172" s="98"/>
      <c r="CD172" s="98"/>
      <c r="CE172" s="98"/>
      <c r="CF172" s="98"/>
      <c r="CG172" s="98"/>
      <c r="CH172" s="98"/>
      <c r="CI172" s="98"/>
      <c r="CJ172" s="98"/>
      <c r="CK172" s="98"/>
      <c r="CL172" s="98"/>
      <c r="CM172" s="98"/>
      <c r="CN172" s="98"/>
      <c r="CO172" s="98"/>
      <c r="CP172" s="98"/>
      <c r="CQ172" s="98"/>
      <c r="CR172" s="98"/>
      <c r="CS172" s="98"/>
      <c r="CT172" s="98"/>
      <c r="CU172" s="98"/>
      <c r="CV172" s="98"/>
      <c r="CW172" s="98"/>
      <c r="CX172" s="98"/>
      <c r="CY172" s="98"/>
      <c r="CZ172" s="98"/>
      <c r="DA172" s="98"/>
      <c r="DB172" s="98"/>
      <c r="DC172" s="98"/>
      <c r="DD172" s="98"/>
      <c r="DE172" s="98"/>
      <c r="DF172" s="98"/>
      <c r="DG172" s="98"/>
      <c r="DH172" s="98"/>
      <c r="DI172" s="98"/>
      <c r="DJ172" s="98"/>
      <c r="DK172" s="98"/>
      <c r="DL172" s="98"/>
      <c r="DM172" s="98"/>
      <c r="DN172" s="98"/>
      <c r="DO172" s="98"/>
      <c r="DP172" s="98"/>
      <c r="DQ172" s="98"/>
      <c r="DR172" s="98"/>
      <c r="DS172" s="98"/>
      <c r="DT172" s="98"/>
      <c r="DU172" s="98"/>
      <c r="DV172" s="98"/>
      <c r="DW172" s="98"/>
      <c r="DX172" s="98"/>
      <c r="DY172" s="98"/>
      <c r="DZ172" s="98"/>
      <c r="EA172" s="98"/>
      <c r="EB172" s="98"/>
      <c r="EC172" s="98"/>
      <c r="ED172" s="98"/>
      <c r="EE172" s="98"/>
      <c r="EF172" s="98"/>
      <c r="EG172" s="98"/>
      <c r="EH172" s="98"/>
      <c r="EI172" s="98"/>
      <c r="EJ172" s="98"/>
      <c r="EK172" s="98"/>
      <c r="EL172" s="98"/>
      <c r="EM172" s="98"/>
      <c r="EN172" s="98"/>
      <c r="EO172" s="98"/>
      <c r="EP172" s="98"/>
      <c r="EQ172" s="98"/>
      <c r="ER172" s="98"/>
      <c r="ES172" s="98"/>
      <c r="ET172" s="98"/>
      <c r="EU172" s="98"/>
      <c r="EV172" s="98"/>
      <c r="EW172" s="98"/>
      <c r="EX172" s="98"/>
      <c r="EY172" s="98"/>
      <c r="EZ172" s="98"/>
      <c r="FA172" s="98"/>
      <c r="FB172" s="98"/>
      <c r="FC172" s="98"/>
      <c r="FD172" s="98"/>
      <c r="FE172" s="98"/>
      <c r="FF172" s="98"/>
      <c r="FG172" s="98"/>
      <c r="FH172" s="98"/>
      <c r="FI172" s="98"/>
      <c r="FJ172" s="98"/>
      <c r="FK172" s="98"/>
      <c r="FL172" s="98"/>
      <c r="FM172" s="98"/>
      <c r="FN172" s="98"/>
      <c r="FO172" s="98"/>
      <c r="FP172" s="98"/>
      <c r="FQ172" s="98"/>
      <c r="FR172" s="98"/>
      <c r="FS172" s="98"/>
      <c r="FT172" s="98"/>
      <c r="FU172" s="98"/>
      <c r="FV172" s="98"/>
      <c r="FW172" s="98"/>
      <c r="FX172" s="98"/>
      <c r="FY172" s="98"/>
      <c r="FZ172" s="98"/>
      <c r="GA172" s="98"/>
      <c r="GB172" s="98"/>
      <c r="GC172" s="98"/>
      <c r="GD172" s="98"/>
      <c r="GE172" s="98"/>
      <c r="GF172" s="98"/>
      <c r="GG172" s="98"/>
      <c r="GH172" s="98"/>
      <c r="GI172" s="98"/>
      <c r="GJ172" s="98"/>
      <c r="GK172" s="98"/>
      <c r="GL172" s="98"/>
      <c r="GM172" s="98"/>
      <c r="GN172" s="98"/>
      <c r="GO172" s="98"/>
      <c r="GP172" s="98"/>
      <c r="GQ172" s="98"/>
      <c r="GR172" s="98"/>
      <c r="GS172" s="98"/>
      <c r="GT172" s="98"/>
      <c r="GU172" s="98"/>
      <c r="GV172" s="98"/>
      <c r="GW172" s="98"/>
      <c r="GX172" s="98"/>
      <c r="GY172" s="98"/>
      <c r="GZ172" s="98"/>
      <c r="HA172" s="98"/>
      <c r="HB172" s="98"/>
      <c r="HC172" s="98"/>
      <c r="HD172" s="98"/>
      <c r="HE172" s="98"/>
      <c r="HF172" s="98"/>
      <c r="HG172" s="98"/>
      <c r="HH172" s="98"/>
      <c r="HI172" s="98"/>
      <c r="HJ172" s="98"/>
      <c r="HK172" s="98"/>
      <c r="HL172" s="98"/>
      <c r="HM172" s="98"/>
      <c r="HN172" s="98"/>
      <c r="HO172" s="98"/>
      <c r="HP172" s="98"/>
      <c r="HQ172" s="98"/>
      <c r="HR172" s="98"/>
      <c r="HS172" s="98"/>
      <c r="HT172" s="98"/>
      <c r="HU172" s="98"/>
      <c r="HV172" s="98"/>
      <c r="HW172" s="98"/>
      <c r="HX172" s="98"/>
      <c r="HY172" s="98"/>
      <c r="HZ172" s="98"/>
      <c r="IA172" s="98"/>
      <c r="IB172" s="98"/>
      <c r="IC172" s="98"/>
      <c r="ID172" s="98"/>
      <c r="IE172" s="98"/>
      <c r="IF172" s="98"/>
      <c r="IG172" s="98"/>
      <c r="IH172" s="98"/>
      <c r="II172" s="98"/>
      <c r="IJ172" s="98"/>
      <c r="IK172" s="98"/>
      <c r="IL172" s="98"/>
      <c r="IM172" s="98"/>
      <c r="IN172" s="98"/>
      <c r="IO172" s="98"/>
      <c r="IP172" s="98"/>
      <c r="IQ172" s="98"/>
      <c r="IR172" s="98"/>
      <c r="IS172" s="98"/>
      <c r="IT172" s="98"/>
      <c r="IU172" s="98"/>
      <c r="IV172" s="98"/>
      <c r="IW172" s="98"/>
    </row>
    <row r="173" customFormat="false" ht="12.75" hidden="false" customHeight="true" outlineLevel="0" collapsed="false">
      <c r="A173" s="98"/>
      <c r="B173" s="294" t="s">
        <v>472</v>
      </c>
      <c r="C173" s="535" t="n">
        <v>228</v>
      </c>
      <c r="D173" s="135" t="n">
        <v>205.4</v>
      </c>
      <c r="E173" s="135" t="n">
        <v>221.5</v>
      </c>
      <c r="F173" s="135" t="n">
        <v>255.528</v>
      </c>
      <c r="G173" s="135"/>
      <c r="H173" s="135"/>
      <c r="I173" s="135"/>
      <c r="J173" s="135"/>
      <c r="K173" s="135"/>
      <c r="L173" s="135"/>
      <c r="M173" s="135"/>
      <c r="N173" s="536"/>
      <c r="O173" s="513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8"/>
      <c r="BI173" s="98"/>
      <c r="BJ173" s="98"/>
      <c r="BK173" s="98"/>
      <c r="BL173" s="98"/>
      <c r="BM173" s="98"/>
      <c r="BN173" s="98"/>
      <c r="BO173" s="98"/>
      <c r="BP173" s="98"/>
      <c r="BQ173" s="98"/>
      <c r="BR173" s="98"/>
      <c r="BS173" s="98"/>
      <c r="BT173" s="98"/>
      <c r="BU173" s="98"/>
      <c r="BV173" s="98"/>
      <c r="BW173" s="98"/>
      <c r="BX173" s="98"/>
      <c r="BY173" s="98"/>
      <c r="BZ173" s="98"/>
      <c r="CA173" s="98"/>
      <c r="CB173" s="98"/>
      <c r="CC173" s="98"/>
      <c r="CD173" s="98"/>
      <c r="CE173" s="98"/>
      <c r="CF173" s="98"/>
      <c r="CG173" s="98"/>
      <c r="CH173" s="98"/>
      <c r="CI173" s="98"/>
      <c r="CJ173" s="98"/>
      <c r="CK173" s="98"/>
      <c r="CL173" s="98"/>
      <c r="CM173" s="98"/>
      <c r="CN173" s="98"/>
      <c r="CO173" s="98"/>
      <c r="CP173" s="98"/>
      <c r="CQ173" s="98"/>
      <c r="CR173" s="98"/>
      <c r="CS173" s="98"/>
      <c r="CT173" s="98"/>
      <c r="CU173" s="98"/>
      <c r="CV173" s="98"/>
      <c r="CW173" s="98"/>
      <c r="CX173" s="98"/>
      <c r="CY173" s="98"/>
      <c r="CZ173" s="98"/>
      <c r="DA173" s="98"/>
      <c r="DB173" s="98"/>
      <c r="DC173" s="98"/>
      <c r="DD173" s="98"/>
      <c r="DE173" s="98"/>
      <c r="DF173" s="98"/>
      <c r="DG173" s="98"/>
      <c r="DH173" s="98"/>
      <c r="DI173" s="98"/>
      <c r="DJ173" s="98"/>
      <c r="DK173" s="98"/>
      <c r="DL173" s="98"/>
      <c r="DM173" s="98"/>
      <c r="DN173" s="98"/>
      <c r="DO173" s="98"/>
      <c r="DP173" s="98"/>
      <c r="DQ173" s="98"/>
      <c r="DR173" s="98"/>
      <c r="DS173" s="98"/>
      <c r="DT173" s="98"/>
      <c r="DU173" s="98"/>
      <c r="DV173" s="98"/>
      <c r="DW173" s="98"/>
      <c r="DX173" s="98"/>
      <c r="DY173" s="98"/>
      <c r="DZ173" s="98"/>
      <c r="EA173" s="98"/>
      <c r="EB173" s="98"/>
      <c r="EC173" s="98"/>
      <c r="ED173" s="98"/>
      <c r="EE173" s="98"/>
      <c r="EF173" s="98"/>
      <c r="EG173" s="98"/>
      <c r="EH173" s="98"/>
      <c r="EI173" s="98"/>
      <c r="EJ173" s="98"/>
      <c r="EK173" s="98"/>
      <c r="EL173" s="98"/>
      <c r="EM173" s="98"/>
      <c r="EN173" s="98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98"/>
      <c r="FB173" s="98"/>
      <c r="FC173" s="98"/>
      <c r="FD173" s="98"/>
      <c r="FE173" s="98"/>
      <c r="FF173" s="98"/>
      <c r="FG173" s="98"/>
      <c r="FH173" s="98"/>
      <c r="FI173" s="98"/>
      <c r="FJ173" s="98"/>
      <c r="FK173" s="98"/>
      <c r="FL173" s="98"/>
      <c r="FM173" s="98"/>
      <c r="FN173" s="98"/>
      <c r="FO173" s="98"/>
      <c r="FP173" s="98"/>
      <c r="FQ173" s="98"/>
      <c r="FR173" s="98"/>
      <c r="FS173" s="98"/>
      <c r="FT173" s="98"/>
      <c r="FU173" s="98"/>
      <c r="FV173" s="98"/>
      <c r="FW173" s="98"/>
      <c r="FX173" s="98"/>
      <c r="FY173" s="98"/>
      <c r="FZ173" s="98"/>
      <c r="GA173" s="98"/>
      <c r="GB173" s="98"/>
      <c r="GC173" s="98"/>
      <c r="GD173" s="98"/>
      <c r="GE173" s="98"/>
      <c r="GF173" s="98"/>
      <c r="GG173" s="98"/>
      <c r="GH173" s="98"/>
      <c r="GI173" s="98"/>
      <c r="GJ173" s="98"/>
      <c r="GK173" s="98"/>
      <c r="GL173" s="98"/>
      <c r="GM173" s="98"/>
      <c r="GN173" s="98"/>
      <c r="GO173" s="98"/>
      <c r="GP173" s="98"/>
      <c r="GQ173" s="98"/>
      <c r="GR173" s="98"/>
      <c r="GS173" s="98"/>
      <c r="GT173" s="98"/>
      <c r="GU173" s="98"/>
      <c r="GV173" s="98"/>
      <c r="GW173" s="98"/>
      <c r="GX173" s="98"/>
      <c r="GY173" s="98"/>
      <c r="GZ173" s="98"/>
      <c r="HA173" s="98"/>
      <c r="HB173" s="98"/>
      <c r="HC173" s="98"/>
      <c r="HD173" s="98"/>
      <c r="HE173" s="98"/>
      <c r="HF173" s="98"/>
      <c r="HG173" s="98"/>
      <c r="HH173" s="98"/>
      <c r="HI173" s="98"/>
      <c r="HJ173" s="98"/>
      <c r="HK173" s="98"/>
      <c r="HL173" s="98"/>
      <c r="HM173" s="98"/>
      <c r="HN173" s="98"/>
      <c r="HO173" s="98"/>
      <c r="HP173" s="98"/>
      <c r="HQ173" s="98"/>
      <c r="HR173" s="98"/>
      <c r="HS173" s="98"/>
      <c r="HT173" s="98"/>
      <c r="HU173" s="98"/>
      <c r="HV173" s="98"/>
      <c r="HW173" s="98"/>
      <c r="HX173" s="98"/>
      <c r="HY173" s="98"/>
      <c r="HZ173" s="98"/>
      <c r="IA173" s="98"/>
      <c r="IB173" s="98"/>
      <c r="IC173" s="98"/>
      <c r="ID173" s="98"/>
      <c r="IE173" s="98"/>
      <c r="IF173" s="98"/>
      <c r="IG173" s="98"/>
      <c r="IH173" s="98"/>
      <c r="II173" s="98"/>
      <c r="IJ173" s="98"/>
      <c r="IK173" s="98"/>
      <c r="IL173" s="98"/>
      <c r="IM173" s="98"/>
      <c r="IN173" s="98"/>
      <c r="IO173" s="98"/>
      <c r="IP173" s="98"/>
      <c r="IQ173" s="98"/>
      <c r="IR173" s="98"/>
      <c r="IS173" s="98"/>
      <c r="IT173" s="98"/>
      <c r="IU173" s="98"/>
      <c r="IV173" s="98"/>
      <c r="IW173" s="98"/>
    </row>
    <row r="174" customFormat="false" ht="12.75" hidden="false" customHeight="true" outlineLevel="0" collapsed="false">
      <c r="B174" s="294" t="s">
        <v>118</v>
      </c>
      <c r="C174" s="526" t="n">
        <f aca="false">C173/C172</f>
        <v>0.742671009771987</v>
      </c>
      <c r="D174" s="527" t="n">
        <f aca="false">D173/D172</f>
        <v>0.616446578631453</v>
      </c>
      <c r="E174" s="527" t="n">
        <f aca="false">E173/E172</f>
        <v>0.687888198757764</v>
      </c>
      <c r="F174" s="527" t="n">
        <f aca="false">F173/F172</f>
        <v>0.793565217391304</v>
      </c>
      <c r="G174" s="527" t="e">
        <f aca="false">G173/G172</f>
        <v>#DIV/0!</v>
      </c>
      <c r="H174" s="527" t="e">
        <f aca="false">H173/H172</f>
        <v>#DIV/0!</v>
      </c>
      <c r="I174" s="527" t="e">
        <f aca="false">I173/I172</f>
        <v>#DIV/0!</v>
      </c>
      <c r="J174" s="527" t="e">
        <f aca="false">J173/J172</f>
        <v>#DIV/0!</v>
      </c>
      <c r="K174" s="527" t="e">
        <f aca="false">K173/K172</f>
        <v>#DIV/0!</v>
      </c>
      <c r="L174" s="527" t="e">
        <f aca="false">L173/L172</f>
        <v>#DIV/0!</v>
      </c>
      <c r="M174" s="527" t="e">
        <f aca="false">M173/M172</f>
        <v>#DIV/0!</v>
      </c>
      <c r="N174" s="525" t="e">
        <f aca="false">N173/N172</f>
        <v>#DIV/0!</v>
      </c>
      <c r="O174" s="516"/>
    </row>
    <row r="175" customFormat="false" ht="12.75" hidden="false" customHeight="true" outlineLevel="0" collapsed="false">
      <c r="O175" s="333"/>
    </row>
    <row r="176" customFormat="false" ht="12.75" hidden="false" customHeight="true" outlineLevel="0" collapsed="false">
      <c r="A176" s="98" t="n">
        <v>1999</v>
      </c>
      <c r="B176" s="501" t="s">
        <v>471</v>
      </c>
      <c r="C176" s="509" t="n">
        <v>274</v>
      </c>
      <c r="D176" s="510" t="n">
        <v>274</v>
      </c>
      <c r="E176" s="510" t="n">
        <v>366</v>
      </c>
      <c r="F176" s="510" t="n">
        <v>320</v>
      </c>
      <c r="G176" s="510" t="n">
        <v>320</v>
      </c>
      <c r="H176" s="510" t="n">
        <v>320</v>
      </c>
      <c r="I176" s="510" t="n">
        <v>320</v>
      </c>
      <c r="J176" s="510" t="n">
        <v>320</v>
      </c>
      <c r="K176" s="510" t="n">
        <v>320</v>
      </c>
      <c r="L176" s="510" t="n">
        <f aca="false">142.5</f>
        <v>142.5</v>
      </c>
      <c r="M176" s="510" t="n">
        <f aca="false">142.5</f>
        <v>142.5</v>
      </c>
      <c r="N176" s="511" t="n">
        <v>322</v>
      </c>
      <c r="O176" s="512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8"/>
      <c r="BI176" s="98"/>
      <c r="BJ176" s="98"/>
      <c r="BK176" s="98"/>
      <c r="BL176" s="98"/>
      <c r="BM176" s="98"/>
      <c r="BN176" s="98"/>
      <c r="BO176" s="98"/>
      <c r="BP176" s="98"/>
      <c r="BQ176" s="98"/>
      <c r="BR176" s="98"/>
      <c r="BS176" s="98"/>
      <c r="BT176" s="98"/>
      <c r="BU176" s="98"/>
      <c r="BV176" s="98"/>
      <c r="BW176" s="98"/>
      <c r="BX176" s="98"/>
      <c r="BY176" s="98"/>
      <c r="BZ176" s="98"/>
      <c r="CA176" s="98"/>
      <c r="CB176" s="98"/>
      <c r="CC176" s="98"/>
      <c r="CD176" s="98"/>
      <c r="CE176" s="98"/>
      <c r="CF176" s="98"/>
      <c r="CG176" s="98"/>
      <c r="CH176" s="98"/>
      <c r="CI176" s="98"/>
      <c r="CJ176" s="98"/>
      <c r="CK176" s="98"/>
      <c r="CL176" s="98"/>
      <c r="CM176" s="98"/>
      <c r="CN176" s="98"/>
      <c r="CO176" s="98"/>
      <c r="CP176" s="98"/>
      <c r="CQ176" s="98"/>
      <c r="CR176" s="98"/>
      <c r="CS176" s="98"/>
      <c r="CT176" s="98"/>
      <c r="CU176" s="98"/>
      <c r="CV176" s="98"/>
      <c r="CW176" s="98"/>
      <c r="CX176" s="98"/>
      <c r="CY176" s="98"/>
      <c r="CZ176" s="98"/>
      <c r="DA176" s="98"/>
      <c r="DB176" s="98"/>
      <c r="DC176" s="98"/>
      <c r="DD176" s="98"/>
      <c r="DE176" s="98"/>
      <c r="DF176" s="98"/>
      <c r="DG176" s="98"/>
      <c r="DH176" s="98"/>
      <c r="DI176" s="98"/>
      <c r="DJ176" s="98"/>
      <c r="DK176" s="98"/>
      <c r="DL176" s="98"/>
      <c r="DM176" s="98"/>
      <c r="DN176" s="98"/>
      <c r="DO176" s="98"/>
      <c r="DP176" s="98"/>
      <c r="DQ176" s="98"/>
      <c r="DR176" s="98"/>
      <c r="DS176" s="98"/>
      <c r="DT176" s="98"/>
      <c r="DU176" s="98"/>
      <c r="DV176" s="98"/>
      <c r="DW176" s="98"/>
      <c r="DX176" s="98"/>
      <c r="DY176" s="98"/>
      <c r="DZ176" s="98"/>
      <c r="EA176" s="98"/>
      <c r="EB176" s="98"/>
      <c r="EC176" s="98"/>
      <c r="ED176" s="98"/>
      <c r="EE176" s="98"/>
      <c r="EF176" s="98"/>
      <c r="EG176" s="98"/>
      <c r="EH176" s="98"/>
      <c r="EI176" s="98"/>
      <c r="EJ176" s="98"/>
      <c r="EK176" s="98"/>
      <c r="EL176" s="98"/>
      <c r="EM176" s="98"/>
      <c r="EN176" s="98"/>
      <c r="EO176" s="98"/>
      <c r="EP176" s="98"/>
      <c r="EQ176" s="98"/>
      <c r="ER176" s="98"/>
      <c r="ES176" s="98"/>
      <c r="ET176" s="98"/>
      <c r="EU176" s="98"/>
      <c r="EV176" s="98"/>
      <c r="EW176" s="98"/>
      <c r="EX176" s="98"/>
      <c r="EY176" s="98"/>
      <c r="EZ176" s="98"/>
      <c r="FA176" s="98"/>
      <c r="FB176" s="98"/>
      <c r="FC176" s="98"/>
      <c r="FD176" s="98"/>
      <c r="FE176" s="98"/>
      <c r="FF176" s="98"/>
      <c r="FG176" s="98"/>
      <c r="FH176" s="98"/>
      <c r="FI176" s="98"/>
      <c r="FJ176" s="98"/>
      <c r="FK176" s="98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  <c r="GF176" s="98"/>
      <c r="GG176" s="98"/>
      <c r="GH176" s="98"/>
      <c r="GI176" s="98"/>
      <c r="GJ176" s="98"/>
      <c r="GK176" s="98"/>
      <c r="GL176" s="98"/>
      <c r="GM176" s="98"/>
      <c r="GN176" s="98"/>
      <c r="GO176" s="98"/>
      <c r="GP176" s="98"/>
      <c r="GQ176" s="98"/>
      <c r="GR176" s="98"/>
      <c r="GS176" s="98"/>
      <c r="GT176" s="98"/>
      <c r="GU176" s="98"/>
      <c r="GV176" s="98"/>
      <c r="GW176" s="98"/>
      <c r="GX176" s="98"/>
      <c r="GY176" s="98"/>
      <c r="GZ176" s="98"/>
      <c r="HA176" s="98"/>
      <c r="HB176" s="98"/>
      <c r="HC176" s="98"/>
      <c r="HD176" s="98"/>
      <c r="HE176" s="98"/>
      <c r="HF176" s="98"/>
      <c r="HG176" s="98"/>
      <c r="HH176" s="98"/>
      <c r="HI176" s="98"/>
      <c r="HJ176" s="98"/>
      <c r="HK176" s="98"/>
      <c r="HL176" s="98"/>
      <c r="HM176" s="98"/>
      <c r="HN176" s="98"/>
      <c r="HO176" s="98"/>
      <c r="HP176" s="98"/>
      <c r="HQ176" s="98"/>
      <c r="HR176" s="98"/>
      <c r="HS176" s="98"/>
      <c r="HT176" s="98"/>
      <c r="HU176" s="98"/>
      <c r="HV176" s="98"/>
      <c r="HW176" s="98"/>
      <c r="HX176" s="98"/>
      <c r="HY176" s="98"/>
      <c r="HZ176" s="98"/>
      <c r="IA176" s="98"/>
      <c r="IB176" s="98"/>
      <c r="IC176" s="98"/>
      <c r="ID176" s="98"/>
      <c r="IE176" s="98"/>
      <c r="IF176" s="98"/>
      <c r="IG176" s="98"/>
      <c r="IH176" s="98"/>
      <c r="II176" s="98"/>
      <c r="IJ176" s="98"/>
      <c r="IK176" s="98"/>
      <c r="IL176" s="98"/>
      <c r="IM176" s="98"/>
      <c r="IN176" s="98"/>
      <c r="IO176" s="98"/>
      <c r="IP176" s="98"/>
      <c r="IQ176" s="98"/>
      <c r="IR176" s="98"/>
      <c r="IS176" s="98"/>
      <c r="IT176" s="98"/>
      <c r="IU176" s="98"/>
      <c r="IV176" s="98"/>
      <c r="IW176" s="98"/>
    </row>
    <row r="177" customFormat="false" ht="12.75" hidden="false" customHeight="true" outlineLevel="0" collapsed="false">
      <c r="A177" s="98"/>
      <c r="B177" s="294" t="s">
        <v>472</v>
      </c>
      <c r="C177" s="535" t="n">
        <v>219.898</v>
      </c>
      <c r="D177" s="135" t="n">
        <v>199.1</v>
      </c>
      <c r="E177" s="135" t="n">
        <v>234.552</v>
      </c>
      <c r="F177" s="135" t="n">
        <v>237.2</v>
      </c>
      <c r="G177" s="135" t="n">
        <v>234.811</v>
      </c>
      <c r="H177" s="135" t="n">
        <v>181.277</v>
      </c>
      <c r="I177" s="135" t="n">
        <v>207.6</v>
      </c>
      <c r="J177" s="135" t="n">
        <v>217.5</v>
      </c>
      <c r="K177" s="135" t="n">
        <v>243</v>
      </c>
      <c r="L177" s="135" t="n">
        <v>140</v>
      </c>
      <c r="M177" s="135" t="n">
        <v>140</v>
      </c>
      <c r="N177" s="536" t="n">
        <v>220.123</v>
      </c>
      <c r="O177" s="513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  <c r="BG177" s="98"/>
      <c r="BH177" s="98"/>
      <c r="BI177" s="98"/>
      <c r="BJ177" s="98"/>
      <c r="BK177" s="98"/>
      <c r="BL177" s="98"/>
      <c r="BM177" s="98"/>
      <c r="BN177" s="98"/>
      <c r="BO177" s="98"/>
      <c r="BP177" s="98"/>
      <c r="BQ177" s="98"/>
      <c r="BR177" s="98"/>
      <c r="BS177" s="98"/>
      <c r="BT177" s="98"/>
      <c r="BU177" s="98"/>
      <c r="BV177" s="98"/>
      <c r="BW177" s="98"/>
      <c r="BX177" s="98"/>
      <c r="BY177" s="98"/>
      <c r="BZ177" s="98"/>
      <c r="CA177" s="98"/>
      <c r="CB177" s="98"/>
      <c r="CC177" s="98"/>
      <c r="CD177" s="98"/>
      <c r="CE177" s="98"/>
      <c r="CF177" s="98"/>
      <c r="CG177" s="98"/>
      <c r="CH177" s="98"/>
      <c r="CI177" s="98"/>
      <c r="CJ177" s="98"/>
      <c r="CK177" s="98"/>
      <c r="CL177" s="98"/>
      <c r="CM177" s="98"/>
      <c r="CN177" s="98"/>
      <c r="CO177" s="98"/>
      <c r="CP177" s="98"/>
      <c r="CQ177" s="98"/>
      <c r="CR177" s="98"/>
      <c r="CS177" s="98"/>
      <c r="CT177" s="98"/>
      <c r="CU177" s="98"/>
      <c r="CV177" s="98"/>
      <c r="CW177" s="98"/>
      <c r="CX177" s="98"/>
      <c r="CY177" s="98"/>
      <c r="CZ177" s="98"/>
      <c r="DA177" s="98"/>
      <c r="DB177" s="98"/>
      <c r="DC177" s="98"/>
      <c r="DD177" s="98"/>
      <c r="DE177" s="98"/>
      <c r="DF177" s="98"/>
      <c r="DG177" s="98"/>
      <c r="DH177" s="98"/>
      <c r="DI177" s="98"/>
      <c r="DJ177" s="98"/>
      <c r="DK177" s="98"/>
      <c r="DL177" s="98"/>
      <c r="DM177" s="98"/>
      <c r="DN177" s="98"/>
      <c r="DO177" s="98"/>
      <c r="DP177" s="98"/>
      <c r="DQ177" s="98"/>
      <c r="DR177" s="98"/>
      <c r="DS177" s="98"/>
      <c r="DT177" s="98"/>
      <c r="DU177" s="98"/>
      <c r="DV177" s="98"/>
      <c r="DW177" s="98"/>
      <c r="DX177" s="98"/>
      <c r="DY177" s="98"/>
      <c r="DZ177" s="98"/>
      <c r="EA177" s="98"/>
      <c r="EB177" s="98"/>
      <c r="EC177" s="98"/>
      <c r="ED177" s="98"/>
      <c r="EE177" s="98"/>
      <c r="EF177" s="98"/>
      <c r="EG177" s="98"/>
      <c r="EH177" s="98"/>
      <c r="EI177" s="98"/>
      <c r="EJ177" s="98"/>
      <c r="EK177" s="98"/>
      <c r="EL177" s="98"/>
      <c r="EM177" s="98"/>
      <c r="EN177" s="98"/>
      <c r="EO177" s="98"/>
      <c r="EP177" s="98"/>
      <c r="EQ177" s="98"/>
      <c r="ER177" s="98"/>
      <c r="ES177" s="98"/>
      <c r="ET177" s="98"/>
      <c r="EU177" s="98"/>
      <c r="EV177" s="98"/>
      <c r="EW177" s="98"/>
      <c r="EX177" s="98"/>
      <c r="EY177" s="98"/>
      <c r="EZ177" s="98"/>
      <c r="FA177" s="98"/>
      <c r="FB177" s="98"/>
      <c r="FC177" s="98"/>
      <c r="FD177" s="98"/>
      <c r="FE177" s="98"/>
      <c r="FF177" s="98"/>
      <c r="FG177" s="98"/>
      <c r="FH177" s="98"/>
      <c r="FI177" s="98"/>
      <c r="FJ177" s="98"/>
      <c r="FK177" s="98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  <c r="GF177" s="98"/>
      <c r="GG177" s="98"/>
      <c r="GH177" s="98"/>
      <c r="GI177" s="98"/>
      <c r="GJ177" s="98"/>
      <c r="GK177" s="98"/>
      <c r="GL177" s="98"/>
      <c r="GM177" s="98"/>
      <c r="GN177" s="98"/>
      <c r="GO177" s="98"/>
      <c r="GP177" s="98"/>
      <c r="GQ177" s="98"/>
      <c r="GR177" s="98"/>
      <c r="GS177" s="98"/>
      <c r="GT177" s="98"/>
      <c r="GU177" s="98"/>
      <c r="GV177" s="98"/>
      <c r="GW177" s="98"/>
      <c r="GX177" s="98"/>
      <c r="GY177" s="98"/>
      <c r="GZ177" s="98"/>
      <c r="HA177" s="98"/>
      <c r="HB177" s="98"/>
      <c r="HC177" s="98"/>
      <c r="HD177" s="98"/>
      <c r="HE177" s="98"/>
      <c r="HF177" s="98"/>
      <c r="HG177" s="98"/>
      <c r="HH177" s="98"/>
      <c r="HI177" s="98"/>
      <c r="HJ177" s="98"/>
      <c r="HK177" s="98"/>
      <c r="HL177" s="98"/>
      <c r="HM177" s="98"/>
      <c r="HN177" s="98"/>
      <c r="HO177" s="98"/>
      <c r="HP177" s="98"/>
      <c r="HQ177" s="98"/>
      <c r="HR177" s="98"/>
      <c r="HS177" s="98"/>
      <c r="HT177" s="98"/>
      <c r="HU177" s="98"/>
      <c r="HV177" s="98"/>
      <c r="HW177" s="98"/>
      <c r="HX177" s="98"/>
      <c r="HY177" s="98"/>
      <c r="HZ177" s="98"/>
      <c r="IA177" s="98"/>
      <c r="IB177" s="98"/>
      <c r="IC177" s="98"/>
      <c r="ID177" s="98"/>
      <c r="IE177" s="98"/>
      <c r="IF177" s="98"/>
      <c r="IG177" s="98"/>
      <c r="IH177" s="98"/>
      <c r="II177" s="98"/>
      <c r="IJ177" s="98"/>
      <c r="IK177" s="98"/>
      <c r="IL177" s="98"/>
      <c r="IM177" s="98"/>
      <c r="IN177" s="98"/>
      <c r="IO177" s="98"/>
      <c r="IP177" s="98"/>
      <c r="IQ177" s="98"/>
      <c r="IR177" s="98"/>
      <c r="IS177" s="98"/>
      <c r="IT177" s="98"/>
      <c r="IU177" s="98"/>
      <c r="IV177" s="98"/>
      <c r="IW177" s="98"/>
    </row>
    <row r="178" customFormat="false" ht="12.75" hidden="false" customHeight="true" outlineLevel="0" collapsed="false">
      <c r="B178" s="294" t="s">
        <v>118</v>
      </c>
      <c r="C178" s="526" t="n">
        <f aca="false">C177/C176</f>
        <v>0.802547445255474</v>
      </c>
      <c r="D178" s="527" t="n">
        <f aca="false">D177/D176</f>
        <v>0.726642335766423</v>
      </c>
      <c r="E178" s="527" t="n">
        <f aca="false">E177/E176</f>
        <v>0.640852459016393</v>
      </c>
      <c r="F178" s="527" t="n">
        <f aca="false">F177/F176</f>
        <v>0.74125</v>
      </c>
      <c r="G178" s="527" t="n">
        <f aca="false">G177/G176</f>
        <v>0.733784375</v>
      </c>
      <c r="H178" s="527" t="n">
        <f aca="false">H177/H176</f>
        <v>0.566490625</v>
      </c>
      <c r="I178" s="527" t="n">
        <f aca="false">I177/I176</f>
        <v>0.64875</v>
      </c>
      <c r="J178" s="527" t="n">
        <f aca="false">J177/J176</f>
        <v>0.6796875</v>
      </c>
      <c r="K178" s="527" t="n">
        <f aca="false">K177/K176</f>
        <v>0.759375</v>
      </c>
      <c r="L178" s="527" t="n">
        <f aca="false">L177/L176</f>
        <v>0.982456140350877</v>
      </c>
      <c r="M178" s="527" t="n">
        <f aca="false">M177/M176</f>
        <v>0.982456140350877</v>
      </c>
      <c r="N178" s="525" t="n">
        <f aca="false">N177/N176</f>
        <v>0.683611801242236</v>
      </c>
      <c r="O178" s="516"/>
    </row>
    <row r="179" customFormat="false" ht="12.75" hidden="false" customHeight="true" outlineLevel="0" collapsed="false">
      <c r="O179" s="333"/>
    </row>
    <row r="180" customFormat="false" ht="12.75" hidden="false" customHeight="true" outlineLevel="0" collapsed="false">
      <c r="A180" s="294" t="n">
        <v>1998</v>
      </c>
      <c r="B180" s="501" t="s">
        <v>471</v>
      </c>
      <c r="C180" s="328" t="n">
        <v>191</v>
      </c>
      <c r="D180" s="329" t="n">
        <v>176</v>
      </c>
      <c r="E180" s="329" t="n">
        <v>50.1</v>
      </c>
      <c r="F180" s="329" t="n">
        <v>365</v>
      </c>
      <c r="G180" s="329" t="n">
        <v>384.2</v>
      </c>
      <c r="H180" s="329" t="n">
        <v>380</v>
      </c>
      <c r="I180" s="329" t="n">
        <v>188.3</v>
      </c>
      <c r="J180" s="329" t="n">
        <v>380</v>
      </c>
      <c r="K180" s="329" t="n">
        <v>275</v>
      </c>
      <c r="L180" s="329" t="n">
        <v>275</v>
      </c>
      <c r="M180" s="329" t="n">
        <v>334</v>
      </c>
      <c r="N180" s="331" t="n">
        <v>391.5</v>
      </c>
      <c r="O180" s="513"/>
    </row>
    <row r="181" customFormat="false" ht="12.75" hidden="false" customHeight="true" outlineLevel="0" collapsed="false">
      <c r="B181" s="294" t="s">
        <v>472</v>
      </c>
      <c r="C181" s="332" t="n">
        <v>133</v>
      </c>
      <c r="D181" s="333" t="n">
        <v>113.4</v>
      </c>
      <c r="E181" s="333" t="n">
        <v>128.1</v>
      </c>
      <c r="F181" s="333" t="n">
        <v>295.1</v>
      </c>
      <c r="G181" s="333" t="n">
        <v>275</v>
      </c>
      <c r="H181" s="333" t="n">
        <v>249.8</v>
      </c>
      <c r="I181" s="333" t="n">
        <v>220.9</v>
      </c>
      <c r="J181" s="333" t="n">
        <v>226.5</v>
      </c>
      <c r="K181" s="333" t="n">
        <v>234.7</v>
      </c>
      <c r="L181" s="333" t="n">
        <v>179.6</v>
      </c>
      <c r="M181" s="333" t="n">
        <v>164.8</v>
      </c>
      <c r="N181" s="337" t="n">
        <v>160.1</v>
      </c>
      <c r="O181" s="513"/>
    </row>
    <row r="182" customFormat="false" ht="12.75" hidden="false" customHeight="true" outlineLevel="0" collapsed="false">
      <c r="B182" s="294" t="s">
        <v>118</v>
      </c>
      <c r="C182" s="526" t="n">
        <f aca="false">C181/C180</f>
        <v>0.696335078534031</v>
      </c>
      <c r="D182" s="527" t="n">
        <f aca="false">D181/D180</f>
        <v>0.644318181818182</v>
      </c>
      <c r="E182" s="527" t="n">
        <f aca="false">E181/E180</f>
        <v>2.55688622754491</v>
      </c>
      <c r="F182" s="527" t="n">
        <f aca="false">F181/F180</f>
        <v>0.808493150684932</v>
      </c>
      <c r="G182" s="527" t="n">
        <f aca="false">G181/G180</f>
        <v>0.715773034877668</v>
      </c>
      <c r="H182" s="527" t="n">
        <f aca="false">H181/H180</f>
        <v>0.657368421052632</v>
      </c>
      <c r="I182" s="527" t="n">
        <f aca="false">I181/I180</f>
        <v>1.17312798725438</v>
      </c>
      <c r="J182" s="527" t="n">
        <f aca="false">J181/J180</f>
        <v>0.596052631578947</v>
      </c>
      <c r="K182" s="527" t="n">
        <f aca="false">K181/K180</f>
        <v>0.853454545454546</v>
      </c>
      <c r="L182" s="527" t="n">
        <f aca="false">L181/L180</f>
        <v>0.653090909090909</v>
      </c>
      <c r="M182" s="527" t="n">
        <f aca="false">M181/M180</f>
        <v>0.493413173652695</v>
      </c>
      <c r="N182" s="525" t="n">
        <f aca="false">N181/N180</f>
        <v>0.408939974457216</v>
      </c>
      <c r="O182" s="516"/>
    </row>
    <row r="183" customFormat="false" ht="12.75" hidden="false" customHeight="true" outlineLevel="0" collapsed="false">
      <c r="C183" s="516"/>
      <c r="D183" s="516"/>
      <c r="E183" s="516"/>
      <c r="F183" s="516"/>
      <c r="G183" s="516"/>
      <c r="H183" s="516"/>
      <c r="I183" s="516"/>
      <c r="J183" s="516"/>
      <c r="K183" s="516"/>
      <c r="L183" s="516"/>
      <c r="M183" s="516"/>
      <c r="N183" s="516"/>
      <c r="O183" s="516"/>
    </row>
    <row r="184" customFormat="false" ht="12.75" hidden="false" customHeight="true" outlineLevel="0" collapsed="false">
      <c r="A184" s="294" t="n">
        <v>1997</v>
      </c>
      <c r="B184" s="501" t="s">
        <v>471</v>
      </c>
      <c r="C184" s="528" t="n">
        <v>303.8</v>
      </c>
      <c r="D184" s="529" t="n">
        <v>321</v>
      </c>
      <c r="E184" s="529" t="n">
        <v>313.8</v>
      </c>
      <c r="F184" s="529" t="n">
        <v>324.8</v>
      </c>
      <c r="G184" s="529" t="n">
        <v>328.3</v>
      </c>
      <c r="H184" s="529" t="n">
        <v>367.3</v>
      </c>
      <c r="I184" s="529" t="n">
        <v>359.3</v>
      </c>
      <c r="J184" s="529" t="n">
        <v>357.3</v>
      </c>
      <c r="K184" s="529" t="n">
        <v>361.3</v>
      </c>
      <c r="L184" s="529" t="n">
        <v>391.2</v>
      </c>
      <c r="M184" s="529" t="n">
        <v>364.8</v>
      </c>
      <c r="N184" s="530" t="n">
        <v>349.5</v>
      </c>
      <c r="O184" s="513"/>
      <c r="P184" s="360"/>
      <c r="Q184" s="360"/>
      <c r="R184" s="360"/>
    </row>
    <row r="185" customFormat="false" ht="12.75" hidden="false" customHeight="true" outlineLevel="0" collapsed="false">
      <c r="B185" s="294" t="s">
        <v>472</v>
      </c>
      <c r="C185" s="531" t="n">
        <v>280.8</v>
      </c>
      <c r="D185" s="360" t="n">
        <v>285.1</v>
      </c>
      <c r="E185" s="360" t="n">
        <v>291.5</v>
      </c>
      <c r="F185" s="360" t="n">
        <v>323.8</v>
      </c>
      <c r="G185" s="360" t="n">
        <v>303.7</v>
      </c>
      <c r="H185" s="360" t="n">
        <v>340.7</v>
      </c>
      <c r="I185" s="360" t="n">
        <v>338.2</v>
      </c>
      <c r="J185" s="360" t="n">
        <v>352</v>
      </c>
      <c r="K185" s="360" t="n">
        <v>337.8</v>
      </c>
      <c r="L185" s="360" t="n">
        <v>345.1</v>
      </c>
      <c r="M185" s="360" t="n">
        <v>356.7</v>
      </c>
      <c r="N185" s="532" t="n">
        <v>315</v>
      </c>
      <c r="O185" s="513"/>
      <c r="P185" s="360"/>
      <c r="Q185" s="360"/>
      <c r="R185" s="360"/>
    </row>
    <row r="186" customFormat="false" ht="12.75" hidden="false" customHeight="true" outlineLevel="0" collapsed="false">
      <c r="B186" s="294" t="s">
        <v>118</v>
      </c>
      <c r="C186" s="526" t="n">
        <f aca="false">C185/C184</f>
        <v>0.924292297564187</v>
      </c>
      <c r="D186" s="527" t="n">
        <f aca="false">D185/D184</f>
        <v>0.888161993769471</v>
      </c>
      <c r="E186" s="527" t="n">
        <f aca="false">E185/E184</f>
        <v>0.9289356277884</v>
      </c>
      <c r="F186" s="527" t="n">
        <f aca="false">F185/F184</f>
        <v>0.99692118226601</v>
      </c>
      <c r="G186" s="527" t="n">
        <f aca="false">G185/G184</f>
        <v>0.925068534876637</v>
      </c>
      <c r="H186" s="527" t="n">
        <f aca="false">H185/H184</f>
        <v>0.927579635175606</v>
      </c>
      <c r="I186" s="527" t="n">
        <f aca="false">I185/I184</f>
        <v>0.941274700807125</v>
      </c>
      <c r="J186" s="527" t="n">
        <f aca="false">J185/J184</f>
        <v>0.98516652672824</v>
      </c>
      <c r="K186" s="527" t="n">
        <f aca="false">K185/K184</f>
        <v>0.93495709936341</v>
      </c>
      <c r="L186" s="527" t="n">
        <f aca="false">L185/L184</f>
        <v>0.882157464212679</v>
      </c>
      <c r="M186" s="527" t="n">
        <f aca="false">M185/M184</f>
        <v>0.977796052631579</v>
      </c>
      <c r="N186" s="525" t="n">
        <f aca="false">N185/N184</f>
        <v>0.901287553648069</v>
      </c>
      <c r="O186" s="516"/>
    </row>
    <row r="187" customFormat="false" ht="12.75" hidden="false" customHeight="true" outlineLevel="0" collapsed="false">
      <c r="O187" s="333"/>
    </row>
    <row r="188" customFormat="false" ht="12.75" hidden="false" customHeight="true" outlineLevel="0" collapsed="false">
      <c r="A188" s="496"/>
      <c r="B188" s="497" t="s">
        <v>51</v>
      </c>
      <c r="C188" s="498"/>
      <c r="D188" s="498"/>
      <c r="E188" s="498"/>
      <c r="F188" s="498"/>
      <c r="G188" s="498"/>
      <c r="H188" s="498"/>
      <c r="I188" s="498"/>
      <c r="J188" s="498"/>
      <c r="K188" s="498"/>
      <c r="L188" s="498"/>
      <c r="M188" s="498"/>
      <c r="N188" s="498"/>
      <c r="O188" s="524"/>
      <c r="P188" s="496"/>
      <c r="Q188" s="496"/>
      <c r="R188" s="496"/>
      <c r="S188" s="496"/>
      <c r="T188" s="496"/>
      <c r="U188" s="496"/>
      <c r="V188" s="496"/>
      <c r="W188" s="496"/>
      <c r="X188" s="496"/>
      <c r="Y188" s="496"/>
      <c r="Z188" s="496"/>
      <c r="AA188" s="496"/>
      <c r="AB188" s="496"/>
      <c r="AC188" s="496"/>
      <c r="AD188" s="496"/>
      <c r="AE188" s="496"/>
      <c r="AF188" s="496"/>
      <c r="AG188" s="496"/>
      <c r="AH188" s="496"/>
      <c r="AI188" s="496"/>
      <c r="AJ188" s="496"/>
      <c r="AK188" s="496"/>
      <c r="AL188" s="496"/>
      <c r="AM188" s="496"/>
      <c r="AN188" s="496"/>
      <c r="AO188" s="496"/>
      <c r="AP188" s="496"/>
      <c r="AQ188" s="496"/>
      <c r="AR188" s="496"/>
      <c r="AS188" s="496"/>
      <c r="AT188" s="496"/>
      <c r="AU188" s="496"/>
      <c r="AV188" s="496"/>
      <c r="AW188" s="496"/>
      <c r="AX188" s="496"/>
      <c r="AY188" s="496"/>
      <c r="AZ188" s="496"/>
      <c r="BA188" s="496"/>
      <c r="BB188" s="496"/>
      <c r="BC188" s="496"/>
      <c r="BD188" s="496"/>
      <c r="BE188" s="496"/>
      <c r="BF188" s="496"/>
      <c r="BG188" s="496"/>
      <c r="BH188" s="496"/>
      <c r="BI188" s="496"/>
      <c r="BJ188" s="496"/>
      <c r="BK188" s="496"/>
      <c r="BL188" s="496"/>
      <c r="BM188" s="496"/>
      <c r="BN188" s="496"/>
      <c r="BO188" s="496"/>
      <c r="BP188" s="496"/>
      <c r="BQ188" s="496"/>
      <c r="BR188" s="496"/>
      <c r="BS188" s="496"/>
      <c r="BT188" s="496"/>
      <c r="BU188" s="496"/>
      <c r="BV188" s="496"/>
      <c r="BW188" s="496"/>
      <c r="BX188" s="496"/>
      <c r="BY188" s="496"/>
      <c r="BZ188" s="496"/>
      <c r="CA188" s="496"/>
      <c r="CB188" s="496"/>
      <c r="CC188" s="496"/>
      <c r="CD188" s="496"/>
      <c r="CE188" s="496"/>
      <c r="CF188" s="496"/>
      <c r="CG188" s="496"/>
      <c r="CH188" s="496"/>
      <c r="CI188" s="496"/>
      <c r="CJ188" s="496"/>
      <c r="CK188" s="496"/>
      <c r="CL188" s="496"/>
      <c r="CM188" s="496"/>
      <c r="CN188" s="496"/>
      <c r="CO188" s="496"/>
      <c r="CP188" s="496"/>
      <c r="CQ188" s="496"/>
      <c r="CR188" s="496"/>
      <c r="CS188" s="496"/>
      <c r="CT188" s="496"/>
      <c r="CU188" s="496"/>
      <c r="CV188" s="496"/>
      <c r="CW188" s="496"/>
      <c r="CX188" s="496"/>
      <c r="CY188" s="496"/>
      <c r="CZ188" s="496"/>
      <c r="DA188" s="496"/>
      <c r="DB188" s="496"/>
      <c r="DC188" s="496"/>
      <c r="DD188" s="496"/>
      <c r="DE188" s="496"/>
      <c r="DF188" s="496"/>
      <c r="DG188" s="496"/>
      <c r="DH188" s="496"/>
      <c r="DI188" s="496"/>
      <c r="DJ188" s="496"/>
      <c r="DK188" s="496"/>
      <c r="DL188" s="496"/>
      <c r="DM188" s="496"/>
      <c r="DN188" s="496"/>
      <c r="DO188" s="496"/>
      <c r="DP188" s="496"/>
      <c r="DQ188" s="496"/>
      <c r="DR188" s="496"/>
      <c r="DS188" s="496"/>
      <c r="DT188" s="496"/>
      <c r="DU188" s="496"/>
      <c r="DV188" s="496"/>
      <c r="DW188" s="496"/>
      <c r="DX188" s="496"/>
      <c r="DY188" s="496"/>
      <c r="DZ188" s="496"/>
      <c r="EA188" s="496"/>
      <c r="EB188" s="496"/>
      <c r="EC188" s="496"/>
      <c r="ED188" s="496"/>
      <c r="EE188" s="496"/>
      <c r="EF188" s="496"/>
      <c r="EG188" s="496"/>
      <c r="EH188" s="496"/>
      <c r="EI188" s="496"/>
      <c r="EJ188" s="496"/>
      <c r="EK188" s="496"/>
      <c r="EL188" s="496"/>
      <c r="EM188" s="496"/>
      <c r="EN188" s="496"/>
      <c r="EO188" s="496"/>
      <c r="EP188" s="496"/>
      <c r="EQ188" s="496"/>
      <c r="ER188" s="496"/>
      <c r="ES188" s="496"/>
      <c r="ET188" s="496"/>
      <c r="EU188" s="496"/>
      <c r="EV188" s="496"/>
      <c r="EW188" s="496"/>
      <c r="EX188" s="496"/>
      <c r="EY188" s="496"/>
      <c r="EZ188" s="496"/>
      <c r="FA188" s="496"/>
      <c r="FB188" s="496"/>
      <c r="FC188" s="496"/>
      <c r="FD188" s="496"/>
      <c r="FE188" s="496"/>
      <c r="FF188" s="496"/>
      <c r="FG188" s="496"/>
      <c r="FH188" s="496"/>
      <c r="FI188" s="496"/>
      <c r="FJ188" s="496"/>
      <c r="FK188" s="496"/>
      <c r="FL188" s="496"/>
      <c r="FM188" s="496"/>
      <c r="FN188" s="496"/>
      <c r="FO188" s="496"/>
      <c r="FP188" s="496"/>
      <c r="FQ188" s="496"/>
      <c r="FR188" s="496"/>
      <c r="FS188" s="496"/>
      <c r="FT188" s="496"/>
      <c r="FU188" s="496"/>
      <c r="FV188" s="496"/>
      <c r="FW188" s="496"/>
      <c r="FX188" s="496"/>
      <c r="FY188" s="496"/>
      <c r="FZ188" s="496"/>
      <c r="GA188" s="496"/>
      <c r="GB188" s="496"/>
      <c r="GC188" s="496"/>
      <c r="GD188" s="496"/>
      <c r="GE188" s="496"/>
      <c r="GF188" s="496"/>
      <c r="GG188" s="496"/>
      <c r="GH188" s="496"/>
      <c r="GI188" s="496"/>
      <c r="GJ188" s="496"/>
      <c r="GK188" s="496"/>
      <c r="GL188" s="496"/>
      <c r="GM188" s="496"/>
      <c r="GN188" s="496"/>
      <c r="GO188" s="496"/>
      <c r="GP188" s="496"/>
      <c r="GQ188" s="496"/>
      <c r="GR188" s="496"/>
      <c r="GS188" s="496"/>
      <c r="GT188" s="496"/>
      <c r="GU188" s="496"/>
      <c r="GV188" s="496"/>
      <c r="GW188" s="496"/>
      <c r="GX188" s="496"/>
      <c r="GY188" s="496"/>
      <c r="GZ188" s="496"/>
      <c r="HA188" s="496"/>
      <c r="HB188" s="496"/>
      <c r="HC188" s="496"/>
      <c r="HD188" s="496"/>
      <c r="HE188" s="496"/>
      <c r="HF188" s="496"/>
      <c r="HG188" s="496"/>
      <c r="HH188" s="496"/>
      <c r="HI188" s="496"/>
      <c r="HJ188" s="496"/>
      <c r="HK188" s="496"/>
      <c r="HL188" s="496"/>
      <c r="HM188" s="496"/>
      <c r="HN188" s="496"/>
      <c r="HO188" s="496"/>
      <c r="HP188" s="496"/>
      <c r="HQ188" s="496"/>
      <c r="HR188" s="496"/>
      <c r="HS188" s="496"/>
      <c r="HT188" s="496"/>
      <c r="HU188" s="496"/>
      <c r="HV188" s="496"/>
      <c r="HW188" s="496"/>
      <c r="HX188" s="496"/>
      <c r="HY188" s="496"/>
      <c r="HZ188" s="496"/>
      <c r="IA188" s="496"/>
      <c r="IB188" s="496"/>
      <c r="IC188" s="496"/>
      <c r="ID188" s="496"/>
      <c r="IE188" s="496"/>
      <c r="IF188" s="496"/>
      <c r="IG188" s="496"/>
      <c r="IH188" s="496"/>
      <c r="II188" s="496"/>
      <c r="IJ188" s="496"/>
      <c r="IK188" s="496"/>
      <c r="IL188" s="496"/>
      <c r="IM188" s="496"/>
      <c r="IN188" s="496"/>
      <c r="IO188" s="496"/>
      <c r="IP188" s="496"/>
      <c r="IQ188" s="496"/>
      <c r="IR188" s="496"/>
      <c r="IS188" s="496"/>
      <c r="IT188" s="496"/>
      <c r="IU188" s="496"/>
      <c r="IV188" s="496"/>
      <c r="IW188" s="496"/>
    </row>
    <row r="189" customFormat="false" ht="12.75" hidden="false" customHeight="true" outlineLevel="0" collapsed="false">
      <c r="B189" s="499" t="s">
        <v>470</v>
      </c>
      <c r="C189" s="500" t="n">
        <f aca="false">(C192+C196+C200)/3</f>
        <v>0.892184690089714</v>
      </c>
      <c r="D189" s="500" t="n">
        <f aca="false">(D192+D196+D200)/3</f>
        <v>1.0991357863583</v>
      </c>
      <c r="E189" s="500" t="n">
        <f aca="false">(E192+E196+E200)/3</f>
        <v>1.26833004015904</v>
      </c>
      <c r="F189" s="500" t="n">
        <f aca="false">(F192+F196+F200)/3</f>
        <v>0.881703930058943</v>
      </c>
      <c r="G189" s="500" t="n">
        <f aca="false">(G196+G200)/2</f>
        <v>0.960987310019183</v>
      </c>
      <c r="H189" s="500" t="n">
        <f aca="false">(H196+H200)/2</f>
        <v>1.17246064484284</v>
      </c>
      <c r="I189" s="500" t="n">
        <f aca="false">(I196+I200)/2</f>
        <v>0.700540049618997</v>
      </c>
      <c r="J189" s="500" t="n">
        <f aca="false">(J196+J200)/2</f>
        <v>0.963998551249547</v>
      </c>
      <c r="K189" s="500" t="n">
        <f aca="false">(K196+K200)/2</f>
        <v>0.703679653679654</v>
      </c>
      <c r="L189" s="500" t="n">
        <f aca="false">(L196+L200)/2</f>
        <v>0.744814216397628</v>
      </c>
      <c r="M189" s="500" t="n">
        <f aca="false">(M196+M200)/2</f>
        <v>0.922953404385272</v>
      </c>
      <c r="N189" s="500" t="n">
        <f aca="false">(N196+N200)/2</f>
        <v>1.20525279058119</v>
      </c>
      <c r="O189" s="333"/>
    </row>
    <row r="190" customFormat="false" ht="12.75" hidden="false" customHeight="true" outlineLevel="0" collapsed="false">
      <c r="A190" s="98" t="n">
        <v>2000</v>
      </c>
      <c r="B190" s="501" t="s">
        <v>471</v>
      </c>
      <c r="C190" s="509" t="n">
        <v>138.5</v>
      </c>
      <c r="D190" s="510" t="n">
        <v>213.4</v>
      </c>
      <c r="E190" s="510" t="n">
        <v>196.2</v>
      </c>
      <c r="F190" s="510" t="n">
        <f aca="false">194.275</f>
        <v>194.275</v>
      </c>
      <c r="G190" s="510"/>
      <c r="H190" s="510"/>
      <c r="I190" s="510"/>
      <c r="J190" s="510"/>
      <c r="K190" s="510"/>
      <c r="L190" s="510"/>
      <c r="M190" s="510"/>
      <c r="N190" s="511"/>
      <c r="O190" s="512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8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98"/>
      <c r="BZ190" s="98"/>
      <c r="CA190" s="98"/>
      <c r="CB190" s="98"/>
      <c r="CC190" s="98"/>
      <c r="CD190" s="98"/>
      <c r="CE190" s="98"/>
      <c r="CF190" s="98"/>
      <c r="CG190" s="98"/>
      <c r="CH190" s="98"/>
      <c r="CI190" s="98"/>
      <c r="CJ190" s="98"/>
      <c r="CK190" s="98"/>
      <c r="CL190" s="98"/>
      <c r="CM190" s="98"/>
      <c r="CN190" s="98"/>
      <c r="CO190" s="98"/>
      <c r="CP190" s="98"/>
      <c r="CQ190" s="98"/>
      <c r="CR190" s="98"/>
      <c r="CS190" s="98"/>
      <c r="CT190" s="98"/>
      <c r="CU190" s="98"/>
      <c r="CV190" s="98"/>
      <c r="CW190" s="98"/>
      <c r="CX190" s="98"/>
      <c r="CY190" s="98"/>
      <c r="CZ190" s="98"/>
      <c r="DA190" s="98"/>
      <c r="DB190" s="98"/>
      <c r="DC190" s="98"/>
      <c r="DD190" s="98"/>
      <c r="DE190" s="98"/>
      <c r="DF190" s="98"/>
      <c r="DG190" s="98"/>
      <c r="DH190" s="98"/>
      <c r="DI190" s="98"/>
      <c r="DJ190" s="98"/>
      <c r="DK190" s="98"/>
      <c r="DL190" s="98"/>
      <c r="DM190" s="98"/>
      <c r="DN190" s="98"/>
      <c r="DO190" s="98"/>
      <c r="DP190" s="98"/>
      <c r="DQ190" s="98"/>
      <c r="DR190" s="98"/>
      <c r="DS190" s="98"/>
      <c r="DT190" s="98"/>
      <c r="DU190" s="98"/>
      <c r="DV190" s="98"/>
      <c r="DW190" s="98"/>
      <c r="DX190" s="98"/>
      <c r="DY190" s="98"/>
      <c r="DZ190" s="98"/>
      <c r="EA190" s="98"/>
      <c r="EB190" s="98"/>
      <c r="EC190" s="98"/>
      <c r="ED190" s="98"/>
      <c r="EE190" s="98"/>
      <c r="EF190" s="98"/>
      <c r="EG190" s="98"/>
      <c r="EH190" s="98"/>
      <c r="EI190" s="98"/>
      <c r="EJ190" s="98"/>
      <c r="EK190" s="98"/>
      <c r="EL190" s="98"/>
      <c r="EM190" s="98"/>
      <c r="EN190" s="98"/>
      <c r="EO190" s="98"/>
      <c r="EP190" s="98"/>
      <c r="EQ190" s="98"/>
      <c r="ER190" s="98"/>
      <c r="ES190" s="98"/>
      <c r="ET190" s="98"/>
      <c r="EU190" s="98"/>
      <c r="EV190" s="98"/>
      <c r="EW190" s="98"/>
      <c r="EX190" s="98"/>
      <c r="EY190" s="98"/>
      <c r="EZ190" s="98"/>
      <c r="FA190" s="98"/>
      <c r="FB190" s="98"/>
      <c r="FC190" s="98"/>
      <c r="FD190" s="98"/>
      <c r="FE190" s="98"/>
      <c r="FF190" s="98"/>
      <c r="FG190" s="98"/>
      <c r="FH190" s="98"/>
      <c r="FI190" s="98"/>
      <c r="FJ190" s="98"/>
      <c r="FK190" s="98"/>
      <c r="FL190" s="98"/>
      <c r="FM190" s="98"/>
      <c r="FN190" s="98"/>
      <c r="FO190" s="98"/>
      <c r="FP190" s="98"/>
      <c r="FQ190" s="98"/>
      <c r="FR190" s="98"/>
      <c r="FS190" s="98"/>
      <c r="FT190" s="98"/>
      <c r="FU190" s="98"/>
      <c r="FV190" s="98"/>
      <c r="FW190" s="98"/>
      <c r="FX190" s="98"/>
      <c r="FY190" s="98"/>
      <c r="FZ190" s="98"/>
      <c r="GA190" s="98"/>
      <c r="GB190" s="98"/>
      <c r="GC190" s="98"/>
      <c r="GD190" s="98"/>
      <c r="GE190" s="98"/>
      <c r="GF190" s="98"/>
      <c r="GG190" s="98"/>
      <c r="GH190" s="98"/>
      <c r="GI190" s="98"/>
      <c r="GJ190" s="98"/>
      <c r="GK190" s="98"/>
      <c r="GL190" s="98"/>
      <c r="GM190" s="98"/>
      <c r="GN190" s="98"/>
      <c r="GO190" s="98"/>
      <c r="GP190" s="98"/>
      <c r="GQ190" s="98"/>
      <c r="GR190" s="98"/>
      <c r="GS190" s="98"/>
      <c r="GT190" s="98"/>
      <c r="GU190" s="98"/>
      <c r="GV190" s="98"/>
      <c r="GW190" s="98"/>
      <c r="GX190" s="98"/>
      <c r="GY190" s="98"/>
      <c r="GZ190" s="98"/>
      <c r="HA190" s="98"/>
      <c r="HB190" s="98"/>
      <c r="HC190" s="98"/>
      <c r="HD190" s="98"/>
      <c r="HE190" s="98"/>
      <c r="HF190" s="98"/>
      <c r="HG190" s="98"/>
      <c r="HH190" s="98"/>
      <c r="HI190" s="98"/>
      <c r="HJ190" s="98"/>
      <c r="HK190" s="98"/>
      <c r="HL190" s="98"/>
      <c r="HM190" s="98"/>
      <c r="HN190" s="98"/>
      <c r="HO190" s="98"/>
      <c r="HP190" s="98"/>
      <c r="HQ190" s="98"/>
      <c r="HR190" s="98"/>
      <c r="HS190" s="98"/>
      <c r="HT190" s="98"/>
      <c r="HU190" s="98"/>
      <c r="HV190" s="98"/>
      <c r="HW190" s="98"/>
      <c r="HX190" s="98"/>
      <c r="HY190" s="98"/>
      <c r="HZ190" s="98"/>
      <c r="IA190" s="98"/>
      <c r="IB190" s="98"/>
      <c r="IC190" s="98"/>
      <c r="ID190" s="98"/>
      <c r="IE190" s="98"/>
      <c r="IF190" s="98"/>
      <c r="IG190" s="98"/>
      <c r="IH190" s="98"/>
      <c r="II190" s="98"/>
      <c r="IJ190" s="98"/>
      <c r="IK190" s="98"/>
      <c r="IL190" s="98"/>
      <c r="IM190" s="98"/>
      <c r="IN190" s="98"/>
      <c r="IO190" s="98"/>
      <c r="IP190" s="98"/>
      <c r="IQ190" s="98"/>
      <c r="IR190" s="98"/>
      <c r="IS190" s="98"/>
      <c r="IT190" s="98"/>
      <c r="IU190" s="98"/>
      <c r="IV190" s="98"/>
      <c r="IW190" s="98"/>
    </row>
    <row r="191" customFormat="false" ht="12.75" hidden="false" customHeight="true" outlineLevel="0" collapsed="false">
      <c r="A191" s="98"/>
      <c r="B191" s="294" t="s">
        <v>472</v>
      </c>
      <c r="C191" s="535" t="n">
        <v>163.7</v>
      </c>
      <c r="D191" s="135" t="n">
        <v>260.4</v>
      </c>
      <c r="E191" s="135" t="n">
        <v>221.4</v>
      </c>
      <c r="F191" s="135" t="n">
        <v>166.403</v>
      </c>
      <c r="G191" s="135"/>
      <c r="H191" s="135"/>
      <c r="I191" s="135"/>
      <c r="J191" s="135"/>
      <c r="K191" s="135"/>
      <c r="L191" s="135"/>
      <c r="M191" s="135"/>
      <c r="N191" s="536"/>
      <c r="O191" s="513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  <c r="BG191" s="98"/>
      <c r="BH191" s="98"/>
      <c r="BI191" s="98"/>
      <c r="BJ191" s="98"/>
      <c r="BK191" s="98"/>
      <c r="BL191" s="98"/>
      <c r="BM191" s="98"/>
      <c r="BN191" s="98"/>
      <c r="BO191" s="98"/>
      <c r="BP191" s="98"/>
      <c r="BQ191" s="98"/>
      <c r="BR191" s="98"/>
      <c r="BS191" s="98"/>
      <c r="BT191" s="98"/>
      <c r="BU191" s="98"/>
      <c r="BV191" s="98"/>
      <c r="BW191" s="98"/>
      <c r="BX191" s="98"/>
      <c r="BY191" s="98"/>
      <c r="BZ191" s="98"/>
      <c r="CA191" s="98"/>
      <c r="CB191" s="98"/>
      <c r="CC191" s="98"/>
      <c r="CD191" s="98"/>
      <c r="CE191" s="98"/>
      <c r="CF191" s="98"/>
      <c r="CG191" s="98"/>
      <c r="CH191" s="98"/>
      <c r="CI191" s="98"/>
      <c r="CJ191" s="98"/>
      <c r="CK191" s="98"/>
      <c r="CL191" s="98"/>
      <c r="CM191" s="98"/>
      <c r="CN191" s="98"/>
      <c r="CO191" s="98"/>
      <c r="CP191" s="98"/>
      <c r="CQ191" s="98"/>
      <c r="CR191" s="98"/>
      <c r="CS191" s="98"/>
      <c r="CT191" s="98"/>
      <c r="CU191" s="98"/>
      <c r="CV191" s="98"/>
      <c r="CW191" s="98"/>
      <c r="CX191" s="98"/>
      <c r="CY191" s="98"/>
      <c r="CZ191" s="98"/>
      <c r="DA191" s="98"/>
      <c r="DB191" s="98"/>
      <c r="DC191" s="98"/>
      <c r="DD191" s="98"/>
      <c r="DE191" s="98"/>
      <c r="DF191" s="98"/>
      <c r="DG191" s="98"/>
      <c r="DH191" s="98"/>
      <c r="DI191" s="98"/>
      <c r="DJ191" s="98"/>
      <c r="DK191" s="98"/>
      <c r="DL191" s="98"/>
      <c r="DM191" s="98"/>
      <c r="DN191" s="98"/>
      <c r="DO191" s="98"/>
      <c r="DP191" s="98"/>
      <c r="DQ191" s="98"/>
      <c r="DR191" s="98"/>
      <c r="DS191" s="98"/>
      <c r="DT191" s="98"/>
      <c r="DU191" s="98"/>
      <c r="DV191" s="98"/>
      <c r="DW191" s="98"/>
      <c r="DX191" s="98"/>
      <c r="DY191" s="98"/>
      <c r="DZ191" s="98"/>
      <c r="EA191" s="98"/>
      <c r="EB191" s="98"/>
      <c r="EC191" s="98"/>
      <c r="ED191" s="98"/>
      <c r="EE191" s="98"/>
      <c r="EF191" s="98"/>
      <c r="EG191" s="98"/>
      <c r="EH191" s="98"/>
      <c r="EI191" s="98"/>
      <c r="EJ191" s="98"/>
      <c r="EK191" s="98"/>
      <c r="EL191" s="98"/>
      <c r="EM191" s="98"/>
      <c r="EN191" s="98"/>
      <c r="EO191" s="98"/>
      <c r="EP191" s="98"/>
      <c r="EQ191" s="98"/>
      <c r="ER191" s="98"/>
      <c r="ES191" s="98"/>
      <c r="ET191" s="98"/>
      <c r="EU191" s="98"/>
      <c r="EV191" s="98"/>
      <c r="EW191" s="98"/>
      <c r="EX191" s="98"/>
      <c r="EY191" s="98"/>
      <c r="EZ191" s="98"/>
      <c r="FA191" s="98"/>
      <c r="FB191" s="98"/>
      <c r="FC191" s="98"/>
      <c r="FD191" s="98"/>
      <c r="FE191" s="98"/>
      <c r="FF191" s="98"/>
      <c r="FG191" s="98"/>
      <c r="FH191" s="98"/>
      <c r="FI191" s="98"/>
      <c r="FJ191" s="98"/>
      <c r="FK191" s="98"/>
      <c r="FL191" s="98"/>
      <c r="FM191" s="98"/>
      <c r="FN191" s="98"/>
      <c r="FO191" s="98"/>
      <c r="FP191" s="98"/>
      <c r="FQ191" s="98"/>
      <c r="FR191" s="98"/>
      <c r="FS191" s="98"/>
      <c r="FT191" s="98"/>
      <c r="FU191" s="98"/>
      <c r="FV191" s="98"/>
      <c r="FW191" s="98"/>
      <c r="FX191" s="98"/>
      <c r="FY191" s="98"/>
      <c r="FZ191" s="98"/>
      <c r="GA191" s="98"/>
      <c r="GB191" s="98"/>
      <c r="GC191" s="98"/>
      <c r="GD191" s="98"/>
      <c r="GE191" s="98"/>
      <c r="GF191" s="98"/>
      <c r="GG191" s="98"/>
      <c r="GH191" s="98"/>
      <c r="GI191" s="98"/>
      <c r="GJ191" s="98"/>
      <c r="GK191" s="98"/>
      <c r="GL191" s="98"/>
      <c r="GM191" s="98"/>
      <c r="GN191" s="98"/>
      <c r="GO191" s="98"/>
      <c r="GP191" s="98"/>
      <c r="GQ191" s="98"/>
      <c r="GR191" s="98"/>
      <c r="GS191" s="98"/>
      <c r="GT191" s="98"/>
      <c r="GU191" s="98"/>
      <c r="GV191" s="98"/>
      <c r="GW191" s="98"/>
      <c r="GX191" s="98"/>
      <c r="GY191" s="98"/>
      <c r="GZ191" s="98"/>
      <c r="HA191" s="98"/>
      <c r="HB191" s="98"/>
      <c r="HC191" s="98"/>
      <c r="HD191" s="98"/>
      <c r="HE191" s="98"/>
      <c r="HF191" s="98"/>
      <c r="HG191" s="98"/>
      <c r="HH191" s="98"/>
      <c r="HI191" s="98"/>
      <c r="HJ191" s="98"/>
      <c r="HK191" s="98"/>
      <c r="HL191" s="98"/>
      <c r="HM191" s="98"/>
      <c r="HN191" s="98"/>
      <c r="HO191" s="98"/>
      <c r="HP191" s="98"/>
      <c r="HQ191" s="98"/>
      <c r="HR191" s="98"/>
      <c r="HS191" s="98"/>
      <c r="HT191" s="98"/>
      <c r="HU191" s="98"/>
      <c r="HV191" s="98"/>
      <c r="HW191" s="98"/>
      <c r="HX191" s="98"/>
      <c r="HY191" s="98"/>
      <c r="HZ191" s="98"/>
      <c r="IA191" s="98"/>
      <c r="IB191" s="98"/>
      <c r="IC191" s="98"/>
      <c r="ID191" s="98"/>
      <c r="IE191" s="98"/>
      <c r="IF191" s="98"/>
      <c r="IG191" s="98"/>
      <c r="IH191" s="98"/>
      <c r="II191" s="98"/>
      <c r="IJ191" s="98"/>
      <c r="IK191" s="98"/>
      <c r="IL191" s="98"/>
      <c r="IM191" s="98"/>
      <c r="IN191" s="98"/>
      <c r="IO191" s="98"/>
      <c r="IP191" s="98"/>
      <c r="IQ191" s="98"/>
      <c r="IR191" s="98"/>
      <c r="IS191" s="98"/>
      <c r="IT191" s="98"/>
      <c r="IU191" s="98"/>
      <c r="IV191" s="98"/>
      <c r="IW191" s="98"/>
    </row>
    <row r="192" customFormat="false" ht="12.75" hidden="false" customHeight="true" outlineLevel="0" collapsed="false">
      <c r="B192" s="294" t="s">
        <v>118</v>
      </c>
      <c r="C192" s="526" t="n">
        <f aca="false">C191/C190</f>
        <v>1.18194945848375</v>
      </c>
      <c r="D192" s="527" t="n">
        <f aca="false">D191/D190</f>
        <v>1.22024367385192</v>
      </c>
      <c r="E192" s="527" t="n">
        <f aca="false">E191/E190</f>
        <v>1.12844036697248</v>
      </c>
      <c r="F192" s="527" t="n">
        <f aca="false">F191/F190</f>
        <v>0.856533264702098</v>
      </c>
      <c r="G192" s="527" t="e">
        <f aca="false">G191/G190</f>
        <v>#DIV/0!</v>
      </c>
      <c r="H192" s="527" t="e">
        <f aca="false">H191/H190</f>
        <v>#DIV/0!</v>
      </c>
      <c r="I192" s="527" t="e">
        <f aca="false">I191/I190</f>
        <v>#DIV/0!</v>
      </c>
      <c r="J192" s="527" t="e">
        <f aca="false">J191/J190</f>
        <v>#DIV/0!</v>
      </c>
      <c r="K192" s="527" t="e">
        <f aca="false">K191/K190</f>
        <v>#DIV/0!</v>
      </c>
      <c r="L192" s="527" t="e">
        <f aca="false">L191/L190</f>
        <v>#DIV/0!</v>
      </c>
      <c r="M192" s="527" t="e">
        <f aca="false">M191/M190</f>
        <v>#DIV/0!</v>
      </c>
      <c r="N192" s="525" t="e">
        <f aca="false">N191/N190</f>
        <v>#DIV/0!</v>
      </c>
      <c r="O192" s="516"/>
    </row>
    <row r="193" customFormat="false" ht="12.75" hidden="false" customHeight="true" outlineLevel="0" collapsed="false">
      <c r="O193" s="333"/>
    </row>
    <row r="194" customFormat="false" ht="12.75" hidden="false" customHeight="true" outlineLevel="0" collapsed="false">
      <c r="A194" s="98" t="n">
        <v>1999</v>
      </c>
      <c r="B194" s="501" t="s">
        <v>471</v>
      </c>
      <c r="C194" s="509" t="n">
        <v>125.8</v>
      </c>
      <c r="D194" s="510" t="n">
        <v>125.8</v>
      </c>
      <c r="E194" s="510" t="n">
        <v>123.5</v>
      </c>
      <c r="F194" s="510" t="n">
        <v>125.7</v>
      </c>
      <c r="G194" s="510" t="n">
        <v>148.5</v>
      </c>
      <c r="H194" s="510" t="n">
        <v>148.5</v>
      </c>
      <c r="I194" s="510" t="n">
        <v>148.5</v>
      </c>
      <c r="J194" s="510" t="n">
        <v>148.5</v>
      </c>
      <c r="K194" s="510" t="n">
        <v>148.5</v>
      </c>
      <c r="L194" s="510" t="n">
        <f aca="false">343.3+95-120</f>
        <v>318.3</v>
      </c>
      <c r="M194" s="510" t="n">
        <f aca="false">238.3+95-120</f>
        <v>213.3</v>
      </c>
      <c r="N194" s="511" t="n">
        <v>123.5</v>
      </c>
      <c r="O194" s="512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8"/>
      <c r="BS194" s="98"/>
      <c r="BT194" s="98"/>
      <c r="BU194" s="98"/>
      <c r="BV194" s="98"/>
      <c r="BW194" s="98"/>
      <c r="BX194" s="98"/>
      <c r="BY194" s="98"/>
      <c r="BZ194" s="98"/>
      <c r="CA194" s="98"/>
      <c r="CB194" s="98"/>
      <c r="CC194" s="98"/>
      <c r="CD194" s="98"/>
      <c r="CE194" s="98"/>
      <c r="CF194" s="98"/>
      <c r="CG194" s="98"/>
      <c r="CH194" s="98"/>
      <c r="CI194" s="98"/>
      <c r="CJ194" s="98"/>
      <c r="CK194" s="98"/>
      <c r="CL194" s="98"/>
      <c r="CM194" s="98"/>
      <c r="CN194" s="98"/>
      <c r="CO194" s="98"/>
      <c r="CP194" s="98"/>
      <c r="CQ194" s="98"/>
      <c r="CR194" s="98"/>
      <c r="CS194" s="98"/>
      <c r="CT194" s="98"/>
      <c r="CU194" s="98"/>
      <c r="CV194" s="98"/>
      <c r="CW194" s="98"/>
      <c r="CX194" s="98"/>
      <c r="CY194" s="98"/>
      <c r="CZ194" s="98"/>
      <c r="DA194" s="98"/>
      <c r="DB194" s="98"/>
      <c r="DC194" s="98"/>
      <c r="DD194" s="98"/>
      <c r="DE194" s="98"/>
      <c r="DF194" s="98"/>
      <c r="DG194" s="98"/>
      <c r="DH194" s="98"/>
      <c r="DI194" s="98"/>
      <c r="DJ194" s="98"/>
      <c r="DK194" s="98"/>
      <c r="DL194" s="98"/>
      <c r="DM194" s="98"/>
      <c r="DN194" s="98"/>
      <c r="DO194" s="98"/>
      <c r="DP194" s="98"/>
      <c r="DQ194" s="98"/>
      <c r="DR194" s="98"/>
      <c r="DS194" s="98"/>
      <c r="DT194" s="98"/>
      <c r="DU194" s="98"/>
      <c r="DV194" s="98"/>
      <c r="DW194" s="98"/>
      <c r="DX194" s="98"/>
      <c r="DY194" s="98"/>
      <c r="DZ194" s="98"/>
      <c r="EA194" s="98"/>
      <c r="EB194" s="98"/>
      <c r="EC194" s="98"/>
      <c r="ED194" s="98"/>
      <c r="EE194" s="98"/>
      <c r="EF194" s="98"/>
      <c r="EG194" s="98"/>
      <c r="EH194" s="98"/>
      <c r="EI194" s="98"/>
      <c r="EJ194" s="98"/>
      <c r="EK194" s="98"/>
      <c r="EL194" s="98"/>
      <c r="EM194" s="98"/>
      <c r="EN194" s="98"/>
      <c r="EO194" s="98"/>
      <c r="EP194" s="98"/>
      <c r="EQ194" s="98"/>
      <c r="ER194" s="98"/>
      <c r="ES194" s="98"/>
      <c r="ET194" s="98"/>
      <c r="EU194" s="98"/>
      <c r="EV194" s="98"/>
      <c r="EW194" s="98"/>
      <c r="EX194" s="98"/>
      <c r="EY194" s="98"/>
      <c r="EZ194" s="98"/>
      <c r="FA194" s="98"/>
      <c r="FB194" s="98"/>
      <c r="FC194" s="98"/>
      <c r="FD194" s="98"/>
      <c r="FE194" s="98"/>
      <c r="FF194" s="98"/>
      <c r="FG194" s="98"/>
      <c r="FH194" s="98"/>
      <c r="FI194" s="98"/>
      <c r="FJ194" s="98"/>
      <c r="FK194" s="98"/>
      <c r="FL194" s="98"/>
      <c r="FM194" s="98"/>
      <c r="FN194" s="98"/>
      <c r="FO194" s="98"/>
      <c r="FP194" s="98"/>
      <c r="FQ194" s="98"/>
      <c r="FR194" s="98"/>
      <c r="FS194" s="98"/>
      <c r="FT194" s="98"/>
      <c r="FU194" s="98"/>
      <c r="FV194" s="98"/>
      <c r="FW194" s="98"/>
      <c r="FX194" s="98"/>
      <c r="FY194" s="98"/>
      <c r="FZ194" s="98"/>
      <c r="GA194" s="98"/>
      <c r="GB194" s="98"/>
      <c r="GC194" s="98"/>
      <c r="GD194" s="98"/>
      <c r="GE194" s="98"/>
      <c r="GF194" s="98"/>
      <c r="GG194" s="98"/>
      <c r="GH194" s="98"/>
      <c r="GI194" s="98"/>
      <c r="GJ194" s="98"/>
      <c r="GK194" s="98"/>
      <c r="GL194" s="98"/>
      <c r="GM194" s="98"/>
      <c r="GN194" s="98"/>
      <c r="GO194" s="98"/>
      <c r="GP194" s="98"/>
      <c r="GQ194" s="98"/>
      <c r="GR194" s="98"/>
      <c r="GS194" s="98"/>
      <c r="GT194" s="98"/>
      <c r="GU194" s="98"/>
      <c r="GV194" s="98"/>
      <c r="GW194" s="98"/>
      <c r="GX194" s="98"/>
      <c r="GY194" s="98"/>
      <c r="GZ194" s="98"/>
      <c r="HA194" s="98"/>
      <c r="HB194" s="98"/>
      <c r="HC194" s="98"/>
      <c r="HD194" s="98"/>
      <c r="HE194" s="98"/>
      <c r="HF194" s="98"/>
      <c r="HG194" s="98"/>
      <c r="HH194" s="98"/>
      <c r="HI194" s="98"/>
      <c r="HJ194" s="98"/>
      <c r="HK194" s="98"/>
      <c r="HL194" s="98"/>
      <c r="HM194" s="98"/>
      <c r="HN194" s="98"/>
      <c r="HO194" s="98"/>
      <c r="HP194" s="98"/>
      <c r="HQ194" s="98"/>
      <c r="HR194" s="98"/>
      <c r="HS194" s="98"/>
      <c r="HT194" s="98"/>
      <c r="HU194" s="98"/>
      <c r="HV194" s="98"/>
      <c r="HW194" s="98"/>
      <c r="HX194" s="98"/>
      <c r="HY194" s="98"/>
      <c r="HZ194" s="98"/>
      <c r="IA194" s="98"/>
      <c r="IB194" s="98"/>
      <c r="IC194" s="98"/>
      <c r="ID194" s="98"/>
      <c r="IE194" s="98"/>
      <c r="IF194" s="98"/>
      <c r="IG194" s="98"/>
      <c r="IH194" s="98"/>
      <c r="II194" s="98"/>
      <c r="IJ194" s="98"/>
      <c r="IK194" s="98"/>
      <c r="IL194" s="98"/>
      <c r="IM194" s="98"/>
      <c r="IN194" s="98"/>
      <c r="IO194" s="98"/>
      <c r="IP194" s="98"/>
      <c r="IQ194" s="98"/>
      <c r="IR194" s="98"/>
      <c r="IS194" s="98"/>
      <c r="IT194" s="98"/>
      <c r="IU194" s="98"/>
      <c r="IV194" s="98"/>
      <c r="IW194" s="98"/>
    </row>
    <row r="195" customFormat="false" ht="12.75" hidden="false" customHeight="true" outlineLevel="0" collapsed="false">
      <c r="A195" s="98"/>
      <c r="B195" s="294" t="s">
        <v>472</v>
      </c>
      <c r="C195" s="535" t="n">
        <v>115.405</v>
      </c>
      <c r="D195" s="135" t="n">
        <v>111.8</v>
      </c>
      <c r="E195" s="135" t="n">
        <v>121.255</v>
      </c>
      <c r="F195" s="135" t="n">
        <v>101.8</v>
      </c>
      <c r="G195" s="135" t="n">
        <v>109.846</v>
      </c>
      <c r="H195" s="135" t="n">
        <v>148.925</v>
      </c>
      <c r="I195" s="135" t="n">
        <v>135.1</v>
      </c>
      <c r="J195" s="135" t="n">
        <v>124.2</v>
      </c>
      <c r="K195" s="135" t="n">
        <v>108.5</v>
      </c>
      <c r="L195" s="135" t="n">
        <v>183.3</v>
      </c>
      <c r="M195" s="135" t="n">
        <v>183.3</v>
      </c>
      <c r="N195" s="536" t="n">
        <v>163.824</v>
      </c>
      <c r="O195" s="513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  <c r="BG195" s="98"/>
      <c r="BH195" s="98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  <c r="BY195" s="98"/>
      <c r="BZ195" s="98"/>
      <c r="CA195" s="98"/>
      <c r="CB195" s="98"/>
      <c r="CC195" s="98"/>
      <c r="CD195" s="98"/>
      <c r="CE195" s="98"/>
      <c r="CF195" s="98"/>
      <c r="CG195" s="98"/>
      <c r="CH195" s="98"/>
      <c r="CI195" s="98"/>
      <c r="CJ195" s="98"/>
      <c r="CK195" s="98"/>
      <c r="CL195" s="98"/>
      <c r="CM195" s="98"/>
      <c r="CN195" s="98"/>
      <c r="CO195" s="98"/>
      <c r="CP195" s="98"/>
      <c r="CQ195" s="98"/>
      <c r="CR195" s="98"/>
      <c r="CS195" s="98"/>
      <c r="CT195" s="98"/>
      <c r="CU195" s="98"/>
      <c r="CV195" s="98"/>
      <c r="CW195" s="98"/>
      <c r="CX195" s="98"/>
      <c r="CY195" s="98"/>
      <c r="CZ195" s="98"/>
      <c r="DA195" s="98"/>
      <c r="DB195" s="98"/>
      <c r="DC195" s="98"/>
      <c r="DD195" s="98"/>
      <c r="DE195" s="98"/>
      <c r="DF195" s="98"/>
      <c r="DG195" s="98"/>
      <c r="DH195" s="98"/>
      <c r="DI195" s="98"/>
      <c r="DJ195" s="98"/>
      <c r="DK195" s="98"/>
      <c r="DL195" s="98"/>
      <c r="DM195" s="98"/>
      <c r="DN195" s="98"/>
      <c r="DO195" s="98"/>
      <c r="DP195" s="98"/>
      <c r="DQ195" s="98"/>
      <c r="DR195" s="98"/>
      <c r="DS195" s="98"/>
      <c r="DT195" s="98"/>
      <c r="DU195" s="98"/>
      <c r="DV195" s="98"/>
      <c r="DW195" s="98"/>
      <c r="DX195" s="98"/>
      <c r="DY195" s="98"/>
      <c r="DZ195" s="98"/>
      <c r="EA195" s="98"/>
      <c r="EB195" s="98"/>
      <c r="EC195" s="98"/>
      <c r="ED195" s="98"/>
      <c r="EE195" s="98"/>
      <c r="EF195" s="98"/>
      <c r="EG195" s="98"/>
      <c r="EH195" s="98"/>
      <c r="EI195" s="98"/>
      <c r="EJ195" s="98"/>
      <c r="EK195" s="98"/>
      <c r="EL195" s="98"/>
      <c r="EM195" s="98"/>
      <c r="EN195" s="98"/>
      <c r="EO195" s="98"/>
      <c r="EP195" s="98"/>
      <c r="EQ195" s="98"/>
      <c r="ER195" s="98"/>
      <c r="ES195" s="98"/>
      <c r="ET195" s="98"/>
      <c r="EU195" s="98"/>
      <c r="EV195" s="98"/>
      <c r="EW195" s="98"/>
      <c r="EX195" s="98"/>
      <c r="EY195" s="98"/>
      <c r="EZ195" s="98"/>
      <c r="FA195" s="98"/>
      <c r="FB195" s="98"/>
      <c r="FC195" s="98"/>
      <c r="FD195" s="98"/>
      <c r="FE195" s="98"/>
      <c r="FF195" s="98"/>
      <c r="FG195" s="98"/>
      <c r="FH195" s="98"/>
      <c r="FI195" s="98"/>
      <c r="FJ195" s="98"/>
      <c r="FK195" s="98"/>
      <c r="FL195" s="98"/>
      <c r="FM195" s="98"/>
      <c r="FN195" s="98"/>
      <c r="FO195" s="98"/>
      <c r="FP195" s="98"/>
      <c r="FQ195" s="98"/>
      <c r="FR195" s="98"/>
      <c r="FS195" s="98"/>
      <c r="FT195" s="98"/>
      <c r="FU195" s="98"/>
      <c r="FV195" s="98"/>
      <c r="FW195" s="98"/>
      <c r="FX195" s="98"/>
      <c r="FY195" s="98"/>
      <c r="FZ195" s="98"/>
      <c r="GA195" s="98"/>
      <c r="GB195" s="98"/>
      <c r="GC195" s="98"/>
      <c r="GD195" s="98"/>
      <c r="GE195" s="98"/>
      <c r="GF195" s="98"/>
      <c r="GG195" s="98"/>
      <c r="GH195" s="98"/>
      <c r="GI195" s="98"/>
      <c r="GJ195" s="98"/>
      <c r="GK195" s="98"/>
      <c r="GL195" s="98"/>
      <c r="GM195" s="98"/>
      <c r="GN195" s="98"/>
      <c r="GO195" s="98"/>
      <c r="GP195" s="98"/>
      <c r="GQ195" s="98"/>
      <c r="GR195" s="98"/>
      <c r="GS195" s="98"/>
      <c r="GT195" s="98"/>
      <c r="GU195" s="98"/>
      <c r="GV195" s="98"/>
      <c r="GW195" s="98"/>
      <c r="GX195" s="98"/>
      <c r="GY195" s="98"/>
      <c r="GZ195" s="98"/>
      <c r="HA195" s="98"/>
      <c r="HB195" s="98"/>
      <c r="HC195" s="98"/>
      <c r="HD195" s="98"/>
      <c r="HE195" s="98"/>
      <c r="HF195" s="98"/>
      <c r="HG195" s="98"/>
      <c r="HH195" s="98"/>
      <c r="HI195" s="98"/>
      <c r="HJ195" s="98"/>
      <c r="HK195" s="98"/>
      <c r="HL195" s="98"/>
      <c r="HM195" s="98"/>
      <c r="HN195" s="98"/>
      <c r="HO195" s="98"/>
      <c r="HP195" s="98"/>
      <c r="HQ195" s="98"/>
      <c r="HR195" s="98"/>
      <c r="HS195" s="98"/>
      <c r="HT195" s="98"/>
      <c r="HU195" s="98"/>
      <c r="HV195" s="98"/>
      <c r="HW195" s="98"/>
      <c r="HX195" s="98"/>
      <c r="HY195" s="98"/>
      <c r="HZ195" s="98"/>
      <c r="IA195" s="98"/>
      <c r="IB195" s="98"/>
      <c r="IC195" s="98"/>
      <c r="ID195" s="98"/>
      <c r="IE195" s="98"/>
      <c r="IF195" s="98"/>
      <c r="IG195" s="98"/>
      <c r="IH195" s="98"/>
      <c r="II195" s="98"/>
      <c r="IJ195" s="98"/>
      <c r="IK195" s="98"/>
      <c r="IL195" s="98"/>
      <c r="IM195" s="98"/>
      <c r="IN195" s="98"/>
      <c r="IO195" s="98"/>
      <c r="IP195" s="98"/>
      <c r="IQ195" s="98"/>
      <c r="IR195" s="98"/>
      <c r="IS195" s="98"/>
      <c r="IT195" s="98"/>
      <c r="IU195" s="98"/>
      <c r="IV195" s="98"/>
      <c r="IW195" s="98"/>
    </row>
    <row r="196" customFormat="false" ht="12.75" hidden="false" customHeight="true" outlineLevel="0" collapsed="false">
      <c r="B196" s="294" t="s">
        <v>118</v>
      </c>
      <c r="C196" s="526" t="n">
        <f aca="false">C195/C194</f>
        <v>0.917368839427663</v>
      </c>
      <c r="D196" s="527" t="n">
        <f aca="false">D195/D194</f>
        <v>0.888712241653418</v>
      </c>
      <c r="E196" s="527" t="n">
        <f aca="false">E195/E194</f>
        <v>0.981821862348178</v>
      </c>
      <c r="F196" s="527" t="n">
        <f aca="false">F195/F194</f>
        <v>0.809864757358791</v>
      </c>
      <c r="G196" s="527" t="n">
        <f aca="false">G195/G194</f>
        <v>0.739703703703704</v>
      </c>
      <c r="H196" s="527" t="n">
        <f aca="false">H195/H194</f>
        <v>1.00286195286195</v>
      </c>
      <c r="I196" s="527" t="n">
        <f aca="false">I195/I194</f>
        <v>0.90976430976431</v>
      </c>
      <c r="J196" s="527" t="n">
        <f aca="false">J195/J194</f>
        <v>0.836363636363636</v>
      </c>
      <c r="K196" s="527" t="n">
        <f aca="false">K195/K194</f>
        <v>0.730639730639731</v>
      </c>
      <c r="L196" s="527" t="n">
        <f aca="false">L195/L194</f>
        <v>0.575871819038643</v>
      </c>
      <c r="M196" s="527" t="n">
        <f aca="false">M195/M194</f>
        <v>0.859353023909986</v>
      </c>
      <c r="N196" s="525" t="n">
        <f aca="false">N195/N194</f>
        <v>1.32651012145749</v>
      </c>
      <c r="O196" s="516"/>
    </row>
    <row r="197" customFormat="false" ht="12.75" hidden="false" customHeight="true" outlineLevel="0" collapsed="false">
      <c r="O197" s="333"/>
    </row>
    <row r="198" customFormat="false" ht="12.75" hidden="false" customHeight="true" outlineLevel="0" collapsed="false">
      <c r="A198" s="294" t="n">
        <v>1998</v>
      </c>
      <c r="B198" s="501" t="s">
        <v>471</v>
      </c>
      <c r="C198" s="328" t="n">
        <v>295.2</v>
      </c>
      <c r="D198" s="329" t="n">
        <v>190.5</v>
      </c>
      <c r="E198" s="329" t="n">
        <v>117.6</v>
      </c>
      <c r="F198" s="329" t="n">
        <v>220.8</v>
      </c>
      <c r="G198" s="329" t="n">
        <v>200.8</v>
      </c>
      <c r="H198" s="329" t="n">
        <v>171.9</v>
      </c>
      <c r="I198" s="329" t="n">
        <v>380</v>
      </c>
      <c r="J198" s="329" t="n">
        <v>200.8</v>
      </c>
      <c r="K198" s="329" t="n">
        <v>189</v>
      </c>
      <c r="L198" s="329" t="n">
        <v>189</v>
      </c>
      <c r="M198" s="329" t="n">
        <v>200.8</v>
      </c>
      <c r="N198" s="331" t="n">
        <v>176.2</v>
      </c>
      <c r="O198" s="512"/>
    </row>
    <row r="199" customFormat="false" ht="12.75" hidden="false" customHeight="true" outlineLevel="0" collapsed="false">
      <c r="B199" s="294" t="s">
        <v>472</v>
      </c>
      <c r="C199" s="332" t="n">
        <v>170.4</v>
      </c>
      <c r="D199" s="333" t="n">
        <v>226.4</v>
      </c>
      <c r="E199" s="333" t="n">
        <v>199.3</v>
      </c>
      <c r="F199" s="333" t="n">
        <v>216.1</v>
      </c>
      <c r="G199" s="333" t="n">
        <v>237.4</v>
      </c>
      <c r="H199" s="333" t="n">
        <v>230.7</v>
      </c>
      <c r="I199" s="333" t="n">
        <v>186.7</v>
      </c>
      <c r="J199" s="333" t="n">
        <v>219.2</v>
      </c>
      <c r="K199" s="333" t="n">
        <v>127.9</v>
      </c>
      <c r="L199" s="333" t="n">
        <v>172.7</v>
      </c>
      <c r="M199" s="333" t="n">
        <v>198.1</v>
      </c>
      <c r="N199" s="337" t="n">
        <v>191</v>
      </c>
      <c r="O199" s="513"/>
    </row>
    <row r="200" customFormat="false" ht="12.75" hidden="false" customHeight="true" outlineLevel="0" collapsed="false">
      <c r="B200" s="294" t="s">
        <v>118</v>
      </c>
      <c r="C200" s="526" t="n">
        <f aca="false">C199/C198</f>
        <v>0.577235772357724</v>
      </c>
      <c r="D200" s="527" t="n">
        <f aca="false">D199/D198</f>
        <v>1.18845144356955</v>
      </c>
      <c r="E200" s="527" t="n">
        <f aca="false">E199/E198</f>
        <v>1.69472789115646</v>
      </c>
      <c r="F200" s="527" t="n">
        <f aca="false">F199/F198</f>
        <v>0.978713768115942</v>
      </c>
      <c r="G200" s="527" t="n">
        <f aca="false">G199/G198</f>
        <v>1.18227091633466</v>
      </c>
      <c r="H200" s="527" t="n">
        <f aca="false">H199/H198</f>
        <v>1.34205933682373</v>
      </c>
      <c r="I200" s="527" t="n">
        <f aca="false">I199/I198</f>
        <v>0.491315789473684</v>
      </c>
      <c r="J200" s="527" t="n">
        <f aca="false">J199/J198</f>
        <v>1.09163346613546</v>
      </c>
      <c r="K200" s="527" t="n">
        <f aca="false">K199/K198</f>
        <v>0.676719576719577</v>
      </c>
      <c r="L200" s="527" t="n">
        <f aca="false">L199/L198</f>
        <v>0.913756613756614</v>
      </c>
      <c r="M200" s="527" t="n">
        <f aca="false">M199/M198</f>
        <v>0.986553784860558</v>
      </c>
      <c r="N200" s="525" t="n">
        <f aca="false">N199/N198</f>
        <v>1.08399545970488</v>
      </c>
      <c r="O200" s="516"/>
    </row>
    <row r="201" customFormat="false" ht="12.75" hidden="false" customHeight="true" outlineLevel="0" collapsed="false">
      <c r="O201" s="333"/>
    </row>
    <row r="202" customFormat="false" ht="12.75" hidden="false" customHeight="true" outlineLevel="0" collapsed="false">
      <c r="A202" s="496"/>
      <c r="B202" s="497" t="s">
        <v>125</v>
      </c>
      <c r="C202" s="498"/>
      <c r="D202" s="498"/>
      <c r="E202" s="498"/>
      <c r="F202" s="498"/>
      <c r="G202" s="498"/>
      <c r="H202" s="498"/>
      <c r="I202" s="498"/>
      <c r="J202" s="498"/>
      <c r="K202" s="498"/>
      <c r="L202" s="498"/>
      <c r="M202" s="498"/>
      <c r="N202" s="498"/>
      <c r="O202" s="524"/>
      <c r="P202" s="496"/>
      <c r="Q202" s="496"/>
      <c r="R202" s="496"/>
      <c r="S202" s="496"/>
      <c r="T202" s="496"/>
      <c r="U202" s="496"/>
      <c r="V202" s="496"/>
      <c r="W202" s="496"/>
      <c r="X202" s="496"/>
      <c r="Y202" s="496"/>
      <c r="Z202" s="496"/>
      <c r="AA202" s="496"/>
      <c r="AB202" s="496"/>
      <c r="AC202" s="496"/>
      <c r="AD202" s="496"/>
      <c r="AE202" s="496"/>
      <c r="AF202" s="496"/>
      <c r="AG202" s="496"/>
      <c r="AH202" s="496"/>
      <c r="AI202" s="496"/>
      <c r="AJ202" s="496"/>
      <c r="AK202" s="496"/>
      <c r="AL202" s="496"/>
      <c r="AM202" s="496"/>
      <c r="AN202" s="496"/>
      <c r="AO202" s="496"/>
      <c r="AP202" s="496"/>
      <c r="AQ202" s="496"/>
      <c r="AR202" s="496"/>
      <c r="AS202" s="496"/>
      <c r="AT202" s="496"/>
      <c r="AU202" s="496"/>
      <c r="AV202" s="496"/>
      <c r="AW202" s="496"/>
      <c r="AX202" s="496"/>
      <c r="AY202" s="496"/>
      <c r="AZ202" s="496"/>
      <c r="BA202" s="496"/>
      <c r="BB202" s="496"/>
      <c r="BC202" s="496"/>
      <c r="BD202" s="496"/>
      <c r="BE202" s="496"/>
      <c r="BF202" s="496"/>
      <c r="BG202" s="496"/>
      <c r="BH202" s="496"/>
      <c r="BI202" s="496"/>
      <c r="BJ202" s="496"/>
      <c r="BK202" s="496"/>
      <c r="BL202" s="496"/>
      <c r="BM202" s="496"/>
      <c r="BN202" s="496"/>
      <c r="BO202" s="496"/>
      <c r="BP202" s="496"/>
      <c r="BQ202" s="496"/>
      <c r="BR202" s="496"/>
      <c r="BS202" s="496"/>
      <c r="BT202" s="496"/>
      <c r="BU202" s="496"/>
      <c r="BV202" s="496"/>
      <c r="BW202" s="496"/>
      <c r="BX202" s="496"/>
      <c r="BY202" s="496"/>
      <c r="BZ202" s="496"/>
      <c r="CA202" s="496"/>
      <c r="CB202" s="496"/>
      <c r="CC202" s="496"/>
      <c r="CD202" s="496"/>
      <c r="CE202" s="496"/>
      <c r="CF202" s="496"/>
      <c r="CG202" s="496"/>
      <c r="CH202" s="496"/>
      <c r="CI202" s="496"/>
      <c r="CJ202" s="496"/>
      <c r="CK202" s="496"/>
      <c r="CL202" s="496"/>
      <c r="CM202" s="496"/>
      <c r="CN202" s="496"/>
      <c r="CO202" s="496"/>
      <c r="CP202" s="496"/>
      <c r="CQ202" s="496"/>
      <c r="CR202" s="496"/>
      <c r="CS202" s="496"/>
      <c r="CT202" s="496"/>
      <c r="CU202" s="496"/>
      <c r="CV202" s="496"/>
      <c r="CW202" s="496"/>
      <c r="CX202" s="496"/>
      <c r="CY202" s="496"/>
      <c r="CZ202" s="496"/>
      <c r="DA202" s="496"/>
      <c r="DB202" s="496"/>
      <c r="DC202" s="496"/>
      <c r="DD202" s="496"/>
      <c r="DE202" s="496"/>
      <c r="DF202" s="496"/>
      <c r="DG202" s="496"/>
      <c r="DH202" s="496"/>
      <c r="DI202" s="496"/>
      <c r="DJ202" s="496"/>
      <c r="DK202" s="496"/>
      <c r="DL202" s="496"/>
      <c r="DM202" s="496"/>
      <c r="DN202" s="496"/>
      <c r="DO202" s="496"/>
      <c r="DP202" s="496"/>
      <c r="DQ202" s="496"/>
      <c r="DR202" s="496"/>
      <c r="DS202" s="496"/>
      <c r="DT202" s="496"/>
      <c r="DU202" s="496"/>
      <c r="DV202" s="496"/>
      <c r="DW202" s="496"/>
      <c r="DX202" s="496"/>
      <c r="DY202" s="496"/>
      <c r="DZ202" s="496"/>
      <c r="EA202" s="496"/>
      <c r="EB202" s="496"/>
      <c r="EC202" s="496"/>
      <c r="ED202" s="496"/>
      <c r="EE202" s="496"/>
      <c r="EF202" s="496"/>
      <c r="EG202" s="496"/>
      <c r="EH202" s="496"/>
      <c r="EI202" s="496"/>
      <c r="EJ202" s="496"/>
      <c r="EK202" s="496"/>
      <c r="EL202" s="496"/>
      <c r="EM202" s="496"/>
      <c r="EN202" s="496"/>
      <c r="EO202" s="496"/>
      <c r="EP202" s="496"/>
      <c r="EQ202" s="496"/>
      <c r="ER202" s="496"/>
      <c r="ES202" s="496"/>
      <c r="ET202" s="496"/>
      <c r="EU202" s="496"/>
      <c r="EV202" s="496"/>
      <c r="EW202" s="496"/>
      <c r="EX202" s="496"/>
      <c r="EY202" s="496"/>
      <c r="EZ202" s="496"/>
      <c r="FA202" s="496"/>
      <c r="FB202" s="496"/>
      <c r="FC202" s="496"/>
      <c r="FD202" s="496"/>
      <c r="FE202" s="496"/>
      <c r="FF202" s="496"/>
      <c r="FG202" s="496"/>
      <c r="FH202" s="496"/>
      <c r="FI202" s="496"/>
      <c r="FJ202" s="496"/>
      <c r="FK202" s="496"/>
      <c r="FL202" s="496"/>
      <c r="FM202" s="496"/>
      <c r="FN202" s="496"/>
      <c r="FO202" s="496"/>
      <c r="FP202" s="496"/>
      <c r="FQ202" s="496"/>
      <c r="FR202" s="496"/>
      <c r="FS202" s="496"/>
      <c r="FT202" s="496"/>
      <c r="FU202" s="496"/>
      <c r="FV202" s="496"/>
      <c r="FW202" s="496"/>
      <c r="FX202" s="496"/>
      <c r="FY202" s="496"/>
      <c r="FZ202" s="496"/>
      <c r="GA202" s="496"/>
      <c r="GB202" s="496"/>
      <c r="GC202" s="496"/>
      <c r="GD202" s="496"/>
      <c r="GE202" s="496"/>
      <c r="GF202" s="496"/>
      <c r="GG202" s="496"/>
      <c r="GH202" s="496"/>
      <c r="GI202" s="496"/>
      <c r="GJ202" s="496"/>
      <c r="GK202" s="496"/>
      <c r="GL202" s="496"/>
      <c r="GM202" s="496"/>
      <c r="GN202" s="496"/>
      <c r="GO202" s="496"/>
      <c r="GP202" s="496"/>
      <c r="GQ202" s="496"/>
      <c r="GR202" s="496"/>
      <c r="GS202" s="496"/>
      <c r="GT202" s="496"/>
      <c r="GU202" s="496"/>
      <c r="GV202" s="496"/>
      <c r="GW202" s="496"/>
      <c r="GX202" s="496"/>
      <c r="GY202" s="496"/>
      <c r="GZ202" s="496"/>
      <c r="HA202" s="496"/>
      <c r="HB202" s="496"/>
      <c r="HC202" s="496"/>
      <c r="HD202" s="496"/>
      <c r="HE202" s="496"/>
      <c r="HF202" s="496"/>
      <c r="HG202" s="496"/>
      <c r="HH202" s="496"/>
      <c r="HI202" s="496"/>
      <c r="HJ202" s="496"/>
      <c r="HK202" s="496"/>
      <c r="HL202" s="496"/>
      <c r="HM202" s="496"/>
      <c r="HN202" s="496"/>
      <c r="HO202" s="496"/>
      <c r="HP202" s="496"/>
      <c r="HQ202" s="496"/>
      <c r="HR202" s="496"/>
      <c r="HS202" s="496"/>
      <c r="HT202" s="496"/>
      <c r="HU202" s="496"/>
      <c r="HV202" s="496"/>
      <c r="HW202" s="496"/>
      <c r="HX202" s="496"/>
      <c r="HY202" s="496"/>
      <c r="HZ202" s="496"/>
      <c r="IA202" s="496"/>
      <c r="IB202" s="496"/>
      <c r="IC202" s="496"/>
      <c r="ID202" s="496"/>
      <c r="IE202" s="496"/>
      <c r="IF202" s="496"/>
      <c r="IG202" s="496"/>
      <c r="IH202" s="496"/>
      <c r="II202" s="496"/>
      <c r="IJ202" s="496"/>
      <c r="IK202" s="496"/>
      <c r="IL202" s="496"/>
      <c r="IM202" s="496"/>
      <c r="IN202" s="496"/>
      <c r="IO202" s="496"/>
      <c r="IP202" s="496"/>
      <c r="IQ202" s="496"/>
      <c r="IR202" s="496"/>
      <c r="IS202" s="496"/>
      <c r="IT202" s="496"/>
      <c r="IU202" s="496"/>
      <c r="IV202" s="496"/>
      <c r="IW202" s="496"/>
    </row>
    <row r="203" customFormat="false" ht="12.75" hidden="false" customHeight="true" outlineLevel="0" collapsed="false">
      <c r="B203" s="499" t="s">
        <v>470</v>
      </c>
      <c r="C203" s="500" t="n">
        <f aca="false">(C206+C210+C214)/3</f>
        <v>0.971072401433692</v>
      </c>
      <c r="D203" s="500" t="n">
        <f aca="false">(D206+D210+D214)/3</f>
        <v>0.997777777777778</v>
      </c>
      <c r="E203" s="500" t="n">
        <f aca="false">(E206+E210+E214)/3</f>
        <v>0.950939068100359</v>
      </c>
      <c r="F203" s="500" t="n">
        <f aca="false">(F206+F210+F214)/3</f>
        <v>0.858381820197317</v>
      </c>
      <c r="G203" s="500" t="n">
        <f aca="false">(G206+G210+G214)/3</f>
        <v>0.85733538779884</v>
      </c>
      <c r="H203" s="500" t="n">
        <f aca="false">(H206+H210+H214)/3</f>
        <v>0.779751254480287</v>
      </c>
      <c r="I203" s="500" t="n">
        <f aca="false">(I206+I210+I214)/3</f>
        <v>0.814695340501792</v>
      </c>
      <c r="J203" s="500" t="n">
        <f aca="false">(J218+J210+J214)/3</f>
        <v>0.678583149362417</v>
      </c>
      <c r="K203" s="500" t="n">
        <f aca="false">(K218+K210+K214)/3</f>
        <v>0.636272401433692</v>
      </c>
      <c r="L203" s="500" t="n">
        <f aca="false">(L218+L210+L214)/3</f>
        <v>0.494628000434452</v>
      </c>
      <c r="M203" s="500" t="n">
        <f aca="false">(M218+M210+M214)/3</f>
        <v>0.613357228195938</v>
      </c>
      <c r="N203" s="500" t="n">
        <f aca="false">(N218+N210+N214)/3</f>
        <v>0.724070967741936</v>
      </c>
      <c r="O203" s="333"/>
    </row>
    <row r="204" customFormat="false" ht="12.75" hidden="false" customHeight="true" outlineLevel="0" collapsed="false">
      <c r="A204" s="98" t="n">
        <v>2000</v>
      </c>
      <c r="B204" s="501" t="s">
        <v>471</v>
      </c>
      <c r="C204" s="509" t="n">
        <v>465</v>
      </c>
      <c r="D204" s="510" t="n">
        <v>465</v>
      </c>
      <c r="E204" s="510" t="n">
        <v>465</v>
      </c>
      <c r="F204" s="510" t="n">
        <v>465</v>
      </c>
      <c r="G204" s="510" t="n">
        <v>465</v>
      </c>
      <c r="H204" s="510" t="n">
        <v>465</v>
      </c>
      <c r="I204" s="510" t="n">
        <v>465</v>
      </c>
      <c r="J204" s="510"/>
      <c r="K204" s="510"/>
      <c r="L204" s="510"/>
      <c r="M204" s="510"/>
      <c r="N204" s="511"/>
      <c r="O204" s="513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8"/>
      <c r="BI204" s="98"/>
      <c r="BJ204" s="98"/>
      <c r="BK204" s="98"/>
      <c r="BL204" s="98"/>
      <c r="BM204" s="98"/>
      <c r="BN204" s="98"/>
      <c r="BO204" s="98"/>
      <c r="BP204" s="98"/>
      <c r="BQ204" s="98"/>
      <c r="BR204" s="98"/>
      <c r="BS204" s="98"/>
      <c r="BT204" s="98"/>
      <c r="BU204" s="98"/>
      <c r="BV204" s="98"/>
      <c r="BW204" s="98"/>
      <c r="BX204" s="98"/>
      <c r="BY204" s="98"/>
      <c r="BZ204" s="98"/>
      <c r="CA204" s="98"/>
      <c r="CB204" s="98"/>
      <c r="CC204" s="98"/>
      <c r="CD204" s="98"/>
      <c r="CE204" s="98"/>
      <c r="CF204" s="98"/>
      <c r="CG204" s="98"/>
      <c r="CH204" s="98"/>
      <c r="CI204" s="98"/>
      <c r="CJ204" s="98"/>
      <c r="CK204" s="98"/>
      <c r="CL204" s="98"/>
      <c r="CM204" s="98"/>
      <c r="CN204" s="98"/>
      <c r="CO204" s="98"/>
      <c r="CP204" s="98"/>
      <c r="CQ204" s="98"/>
      <c r="CR204" s="98"/>
      <c r="CS204" s="98"/>
      <c r="CT204" s="98"/>
      <c r="CU204" s="98"/>
      <c r="CV204" s="98"/>
      <c r="CW204" s="98"/>
      <c r="CX204" s="98"/>
      <c r="CY204" s="98"/>
      <c r="CZ204" s="98"/>
      <c r="DA204" s="98"/>
      <c r="DB204" s="98"/>
      <c r="DC204" s="98"/>
      <c r="DD204" s="98"/>
      <c r="DE204" s="98"/>
      <c r="DF204" s="98"/>
      <c r="DG204" s="98"/>
      <c r="DH204" s="98"/>
      <c r="DI204" s="98"/>
      <c r="DJ204" s="98"/>
      <c r="DK204" s="98"/>
      <c r="DL204" s="98"/>
      <c r="DM204" s="98"/>
      <c r="DN204" s="98"/>
      <c r="DO204" s="98"/>
      <c r="DP204" s="98"/>
      <c r="DQ204" s="98"/>
      <c r="DR204" s="98"/>
      <c r="DS204" s="98"/>
      <c r="DT204" s="98"/>
      <c r="DU204" s="98"/>
      <c r="DV204" s="98"/>
      <c r="DW204" s="98"/>
      <c r="DX204" s="98"/>
      <c r="DY204" s="98"/>
      <c r="DZ204" s="98"/>
      <c r="EA204" s="98"/>
      <c r="EB204" s="98"/>
      <c r="EC204" s="98"/>
      <c r="ED204" s="98"/>
      <c r="EE204" s="98"/>
      <c r="EF204" s="98"/>
      <c r="EG204" s="98"/>
      <c r="EH204" s="98"/>
      <c r="EI204" s="98"/>
      <c r="EJ204" s="98"/>
      <c r="EK204" s="98"/>
      <c r="EL204" s="98"/>
      <c r="EM204" s="98"/>
      <c r="EN204" s="98"/>
      <c r="EO204" s="98"/>
      <c r="EP204" s="98"/>
      <c r="EQ204" s="98"/>
      <c r="ER204" s="98"/>
      <c r="ES204" s="98"/>
      <c r="ET204" s="98"/>
      <c r="EU204" s="98"/>
      <c r="EV204" s="98"/>
      <c r="EW204" s="98"/>
      <c r="EX204" s="98"/>
      <c r="EY204" s="98"/>
      <c r="EZ204" s="98"/>
      <c r="FA204" s="98"/>
      <c r="FB204" s="98"/>
      <c r="FC204" s="98"/>
      <c r="FD204" s="98"/>
      <c r="FE204" s="98"/>
      <c r="FF204" s="98"/>
      <c r="FG204" s="98"/>
      <c r="FH204" s="98"/>
      <c r="FI204" s="98"/>
      <c r="FJ204" s="98"/>
      <c r="FK204" s="98"/>
      <c r="FL204" s="98"/>
      <c r="FM204" s="98"/>
      <c r="FN204" s="98"/>
      <c r="FO204" s="98"/>
      <c r="FP204" s="98"/>
      <c r="FQ204" s="98"/>
      <c r="FR204" s="98"/>
      <c r="FS204" s="98"/>
      <c r="FT204" s="98"/>
      <c r="FU204" s="98"/>
      <c r="FV204" s="98"/>
      <c r="FW204" s="98"/>
      <c r="FX204" s="98"/>
      <c r="FY204" s="98"/>
      <c r="FZ204" s="98"/>
      <c r="GA204" s="98"/>
      <c r="GB204" s="98"/>
      <c r="GC204" s="98"/>
      <c r="GD204" s="98"/>
      <c r="GE204" s="98"/>
      <c r="GF204" s="98"/>
      <c r="GG204" s="98"/>
      <c r="GH204" s="98"/>
      <c r="GI204" s="98"/>
      <c r="GJ204" s="98"/>
      <c r="GK204" s="98"/>
      <c r="GL204" s="98"/>
      <c r="GM204" s="98"/>
      <c r="GN204" s="98"/>
      <c r="GO204" s="98"/>
      <c r="GP204" s="98"/>
      <c r="GQ204" s="98"/>
      <c r="GR204" s="98"/>
      <c r="GS204" s="98"/>
      <c r="GT204" s="98"/>
      <c r="GU204" s="98"/>
      <c r="GV204" s="98"/>
      <c r="GW204" s="98"/>
      <c r="GX204" s="98"/>
      <c r="GY204" s="98"/>
      <c r="GZ204" s="98"/>
      <c r="HA204" s="98"/>
      <c r="HB204" s="98"/>
      <c r="HC204" s="98"/>
      <c r="HD204" s="98"/>
      <c r="HE204" s="98"/>
      <c r="HF204" s="98"/>
      <c r="HG204" s="98"/>
      <c r="HH204" s="98"/>
      <c r="HI204" s="98"/>
      <c r="HJ204" s="98"/>
      <c r="HK204" s="98"/>
      <c r="HL204" s="98"/>
      <c r="HM204" s="98"/>
      <c r="HN204" s="98"/>
      <c r="HO204" s="98"/>
      <c r="HP204" s="98"/>
      <c r="HQ204" s="98"/>
      <c r="HR204" s="98"/>
      <c r="HS204" s="98"/>
      <c r="HT204" s="98"/>
      <c r="HU204" s="98"/>
      <c r="HV204" s="98"/>
      <c r="HW204" s="98"/>
      <c r="HX204" s="98"/>
      <c r="HY204" s="98"/>
      <c r="HZ204" s="98"/>
      <c r="IA204" s="98"/>
      <c r="IB204" s="98"/>
      <c r="IC204" s="98"/>
      <c r="ID204" s="98"/>
      <c r="IE204" s="98"/>
      <c r="IF204" s="98"/>
      <c r="IG204" s="98"/>
      <c r="IH204" s="98"/>
      <c r="II204" s="98"/>
      <c r="IJ204" s="98"/>
      <c r="IK204" s="98"/>
      <c r="IL204" s="98"/>
      <c r="IM204" s="98"/>
      <c r="IN204" s="98"/>
      <c r="IO204" s="98"/>
      <c r="IP204" s="98"/>
      <c r="IQ204" s="98"/>
      <c r="IR204" s="98"/>
      <c r="IS204" s="98"/>
      <c r="IT204" s="98"/>
      <c r="IU204" s="98"/>
      <c r="IV204" s="98"/>
      <c r="IW204" s="98"/>
    </row>
    <row r="205" customFormat="false" ht="12.75" hidden="false" customHeight="true" outlineLevel="0" collapsed="false">
      <c r="A205" s="98"/>
      <c r="B205" s="294" t="s">
        <v>472</v>
      </c>
      <c r="C205" s="535" t="n">
        <v>416.2</v>
      </c>
      <c r="D205" s="135" t="n">
        <v>452.1</v>
      </c>
      <c r="E205" s="135" t="n">
        <v>470.1</v>
      </c>
      <c r="F205" s="135" t="n">
        <f aca="false">353.892+21.996</f>
        <v>375.888</v>
      </c>
      <c r="G205" s="135" t="n">
        <f aca="false">378.7+79.6</f>
        <v>458.3</v>
      </c>
      <c r="H205" s="135" t="n">
        <f aca="false">280.1+151.2+3.2</f>
        <v>434.5</v>
      </c>
      <c r="I205" s="135" t="n">
        <f aca="false">280.3+172.6+1.6</f>
        <v>454.5</v>
      </c>
      <c r="J205" s="135"/>
      <c r="K205" s="135"/>
      <c r="L205" s="135"/>
      <c r="M205" s="135"/>
      <c r="N205" s="536"/>
      <c r="O205" s="513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  <c r="BH205" s="98"/>
      <c r="BI205" s="98"/>
      <c r="BJ205" s="98"/>
      <c r="BK205" s="98"/>
      <c r="BL205" s="98"/>
      <c r="BM205" s="98"/>
      <c r="BN205" s="98"/>
      <c r="BO205" s="98"/>
      <c r="BP205" s="98"/>
      <c r="BQ205" s="98"/>
      <c r="BR205" s="98"/>
      <c r="BS205" s="98"/>
      <c r="BT205" s="98"/>
      <c r="BU205" s="98"/>
      <c r="BV205" s="98"/>
      <c r="BW205" s="98"/>
      <c r="BX205" s="98"/>
      <c r="BY205" s="98"/>
      <c r="BZ205" s="98"/>
      <c r="CA205" s="98"/>
      <c r="CB205" s="98"/>
      <c r="CC205" s="98"/>
      <c r="CD205" s="98"/>
      <c r="CE205" s="98"/>
      <c r="CF205" s="98"/>
      <c r="CG205" s="98"/>
      <c r="CH205" s="98"/>
      <c r="CI205" s="98"/>
      <c r="CJ205" s="98"/>
      <c r="CK205" s="98"/>
      <c r="CL205" s="98"/>
      <c r="CM205" s="98"/>
      <c r="CN205" s="98"/>
      <c r="CO205" s="98"/>
      <c r="CP205" s="98"/>
      <c r="CQ205" s="98"/>
      <c r="CR205" s="98"/>
      <c r="CS205" s="98"/>
      <c r="CT205" s="98"/>
      <c r="CU205" s="98"/>
      <c r="CV205" s="98"/>
      <c r="CW205" s="98"/>
      <c r="CX205" s="98"/>
      <c r="CY205" s="98"/>
      <c r="CZ205" s="98"/>
      <c r="DA205" s="98"/>
      <c r="DB205" s="98"/>
      <c r="DC205" s="98"/>
      <c r="DD205" s="98"/>
      <c r="DE205" s="98"/>
      <c r="DF205" s="98"/>
      <c r="DG205" s="98"/>
      <c r="DH205" s="98"/>
      <c r="DI205" s="98"/>
      <c r="DJ205" s="98"/>
      <c r="DK205" s="98"/>
      <c r="DL205" s="98"/>
      <c r="DM205" s="98"/>
      <c r="DN205" s="98"/>
      <c r="DO205" s="98"/>
      <c r="DP205" s="98"/>
      <c r="DQ205" s="98"/>
      <c r="DR205" s="98"/>
      <c r="DS205" s="98"/>
      <c r="DT205" s="98"/>
      <c r="DU205" s="98"/>
      <c r="DV205" s="98"/>
      <c r="DW205" s="98"/>
      <c r="DX205" s="98"/>
      <c r="DY205" s="98"/>
      <c r="DZ205" s="98"/>
      <c r="EA205" s="98"/>
      <c r="EB205" s="98"/>
      <c r="EC205" s="98"/>
      <c r="ED205" s="98"/>
      <c r="EE205" s="98"/>
      <c r="EF205" s="98"/>
      <c r="EG205" s="98"/>
      <c r="EH205" s="98"/>
      <c r="EI205" s="98"/>
      <c r="EJ205" s="98"/>
      <c r="EK205" s="98"/>
      <c r="EL205" s="98"/>
      <c r="EM205" s="98"/>
      <c r="EN205" s="98"/>
      <c r="EO205" s="98"/>
      <c r="EP205" s="98"/>
      <c r="EQ205" s="98"/>
      <c r="ER205" s="98"/>
      <c r="ES205" s="98"/>
      <c r="ET205" s="98"/>
      <c r="EU205" s="98"/>
      <c r="EV205" s="98"/>
      <c r="EW205" s="98"/>
      <c r="EX205" s="98"/>
      <c r="EY205" s="98"/>
      <c r="EZ205" s="98"/>
      <c r="FA205" s="98"/>
      <c r="FB205" s="98"/>
      <c r="FC205" s="98"/>
      <c r="FD205" s="98"/>
      <c r="FE205" s="98"/>
      <c r="FF205" s="98"/>
      <c r="FG205" s="98"/>
      <c r="FH205" s="98"/>
      <c r="FI205" s="98"/>
      <c r="FJ205" s="98"/>
      <c r="FK205" s="98"/>
      <c r="FL205" s="98"/>
      <c r="FM205" s="98"/>
      <c r="FN205" s="98"/>
      <c r="FO205" s="98"/>
      <c r="FP205" s="98"/>
      <c r="FQ205" s="98"/>
      <c r="FR205" s="98"/>
      <c r="FS205" s="98"/>
      <c r="FT205" s="98"/>
      <c r="FU205" s="98"/>
      <c r="FV205" s="98"/>
      <c r="FW205" s="98"/>
      <c r="FX205" s="98"/>
      <c r="FY205" s="98"/>
      <c r="FZ205" s="98"/>
      <c r="GA205" s="98"/>
      <c r="GB205" s="98"/>
      <c r="GC205" s="98"/>
      <c r="GD205" s="98"/>
      <c r="GE205" s="98"/>
      <c r="GF205" s="98"/>
      <c r="GG205" s="98"/>
      <c r="GH205" s="98"/>
      <c r="GI205" s="98"/>
      <c r="GJ205" s="98"/>
      <c r="GK205" s="98"/>
      <c r="GL205" s="98"/>
      <c r="GM205" s="98"/>
      <c r="GN205" s="98"/>
      <c r="GO205" s="98"/>
      <c r="GP205" s="98"/>
      <c r="GQ205" s="98"/>
      <c r="GR205" s="98"/>
      <c r="GS205" s="98"/>
      <c r="GT205" s="98"/>
      <c r="GU205" s="98"/>
      <c r="GV205" s="98"/>
      <c r="GW205" s="98"/>
      <c r="GX205" s="98"/>
      <c r="GY205" s="98"/>
      <c r="GZ205" s="98"/>
      <c r="HA205" s="98"/>
      <c r="HB205" s="98"/>
      <c r="HC205" s="98"/>
      <c r="HD205" s="98"/>
      <c r="HE205" s="98"/>
      <c r="HF205" s="98"/>
      <c r="HG205" s="98"/>
      <c r="HH205" s="98"/>
      <c r="HI205" s="98"/>
      <c r="HJ205" s="98"/>
      <c r="HK205" s="98"/>
      <c r="HL205" s="98"/>
      <c r="HM205" s="98"/>
      <c r="HN205" s="98"/>
      <c r="HO205" s="98"/>
      <c r="HP205" s="98"/>
      <c r="HQ205" s="98"/>
      <c r="HR205" s="98"/>
      <c r="HS205" s="98"/>
      <c r="HT205" s="98"/>
      <c r="HU205" s="98"/>
      <c r="HV205" s="98"/>
      <c r="HW205" s="98"/>
      <c r="HX205" s="98"/>
      <c r="HY205" s="98"/>
      <c r="HZ205" s="98"/>
      <c r="IA205" s="98"/>
      <c r="IB205" s="98"/>
      <c r="IC205" s="98"/>
      <c r="ID205" s="98"/>
      <c r="IE205" s="98"/>
      <c r="IF205" s="98"/>
      <c r="IG205" s="98"/>
      <c r="IH205" s="98"/>
      <c r="II205" s="98"/>
      <c r="IJ205" s="98"/>
      <c r="IK205" s="98"/>
      <c r="IL205" s="98"/>
      <c r="IM205" s="98"/>
      <c r="IN205" s="98"/>
      <c r="IO205" s="98"/>
      <c r="IP205" s="98"/>
      <c r="IQ205" s="98"/>
      <c r="IR205" s="98"/>
      <c r="IS205" s="98"/>
      <c r="IT205" s="98"/>
      <c r="IU205" s="98"/>
      <c r="IV205" s="98"/>
      <c r="IW205" s="98"/>
    </row>
    <row r="206" customFormat="false" ht="12.75" hidden="false" customHeight="true" outlineLevel="0" collapsed="false">
      <c r="B206" s="294" t="s">
        <v>118</v>
      </c>
      <c r="C206" s="526" t="n">
        <f aca="false">C205/C204</f>
        <v>0.89505376344086</v>
      </c>
      <c r="D206" s="527" t="n">
        <f aca="false">D205/D204</f>
        <v>0.972258064516129</v>
      </c>
      <c r="E206" s="527" t="n">
        <f aca="false">E205/E204</f>
        <v>1.01096774193548</v>
      </c>
      <c r="F206" s="527" t="n">
        <f aca="false">F205/F204</f>
        <v>0.808361290322581</v>
      </c>
      <c r="G206" s="527" t="n">
        <f aca="false">G205/G204</f>
        <v>0.985591397849462</v>
      </c>
      <c r="H206" s="527" t="n">
        <f aca="false">H205/H204</f>
        <v>0.934408602150538</v>
      </c>
      <c r="I206" s="527" t="n">
        <f aca="false">I205/I204</f>
        <v>0.97741935483871</v>
      </c>
      <c r="J206" s="527" t="e">
        <f aca="false">J205/J204</f>
        <v>#DIV/0!</v>
      </c>
      <c r="K206" s="527" t="e">
        <f aca="false">K205/K204</f>
        <v>#DIV/0!</v>
      </c>
      <c r="L206" s="527" t="e">
        <f aca="false">L205/L204</f>
        <v>#DIV/0!</v>
      </c>
      <c r="M206" s="527" t="e">
        <f aca="false">M205/M204</f>
        <v>#DIV/0!</v>
      </c>
      <c r="N206" s="525" t="e">
        <f aca="false">N205/N204</f>
        <v>#DIV/0!</v>
      </c>
      <c r="O206" s="516"/>
    </row>
    <row r="207" customFormat="false" ht="12.75" hidden="false" customHeight="true" outlineLevel="0" collapsed="false">
      <c r="B207" s="499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333"/>
    </row>
    <row r="208" customFormat="false" ht="12.75" hidden="false" customHeight="true" outlineLevel="0" collapsed="false">
      <c r="A208" s="98" t="n">
        <v>1999</v>
      </c>
      <c r="B208" s="501" t="s">
        <v>471</v>
      </c>
      <c r="C208" s="509" t="n">
        <v>465</v>
      </c>
      <c r="D208" s="510" t="n">
        <v>465</v>
      </c>
      <c r="E208" s="510" t="n">
        <v>465</v>
      </c>
      <c r="F208" s="510" t="n">
        <v>485</v>
      </c>
      <c r="G208" s="510" t="n">
        <v>485</v>
      </c>
      <c r="H208" s="510" t="n">
        <v>465</v>
      </c>
      <c r="I208" s="510" t="n">
        <v>465</v>
      </c>
      <c r="J208" s="510" t="n">
        <v>465</v>
      </c>
      <c r="K208" s="510" t="n">
        <v>465</v>
      </c>
      <c r="L208" s="510" t="n">
        <f aca="false">465+30</f>
        <v>495</v>
      </c>
      <c r="M208" s="510" t="n">
        <f aca="false">465+30</f>
        <v>495</v>
      </c>
      <c r="N208" s="511" t="n">
        <v>465</v>
      </c>
      <c r="O208" s="513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  <c r="BH208" s="98"/>
      <c r="BI208" s="98"/>
      <c r="BJ208" s="98"/>
      <c r="BK208" s="98"/>
      <c r="BL208" s="98"/>
      <c r="BM208" s="98"/>
      <c r="BN208" s="98"/>
      <c r="BO208" s="98"/>
      <c r="BP208" s="98"/>
      <c r="BQ208" s="98"/>
      <c r="BR208" s="98"/>
      <c r="BS208" s="98"/>
      <c r="BT208" s="98"/>
      <c r="BU208" s="98"/>
      <c r="BV208" s="98"/>
      <c r="BW208" s="98"/>
      <c r="BX208" s="98"/>
      <c r="BY208" s="98"/>
      <c r="BZ208" s="98"/>
      <c r="CA208" s="98"/>
      <c r="CB208" s="98"/>
      <c r="CC208" s="98"/>
      <c r="CD208" s="98"/>
      <c r="CE208" s="98"/>
      <c r="CF208" s="98"/>
      <c r="CG208" s="98"/>
      <c r="CH208" s="98"/>
      <c r="CI208" s="98"/>
      <c r="CJ208" s="98"/>
      <c r="CK208" s="98"/>
      <c r="CL208" s="98"/>
      <c r="CM208" s="98"/>
      <c r="CN208" s="98"/>
      <c r="CO208" s="98"/>
      <c r="CP208" s="98"/>
      <c r="CQ208" s="98"/>
      <c r="CR208" s="98"/>
      <c r="CS208" s="98"/>
      <c r="CT208" s="98"/>
      <c r="CU208" s="98"/>
      <c r="CV208" s="98"/>
      <c r="CW208" s="98"/>
      <c r="CX208" s="98"/>
      <c r="CY208" s="98"/>
      <c r="CZ208" s="98"/>
      <c r="DA208" s="98"/>
      <c r="DB208" s="98"/>
      <c r="DC208" s="98"/>
      <c r="DD208" s="98"/>
      <c r="DE208" s="98"/>
      <c r="DF208" s="98"/>
      <c r="DG208" s="98"/>
      <c r="DH208" s="98"/>
      <c r="DI208" s="98"/>
      <c r="DJ208" s="98"/>
      <c r="DK208" s="98"/>
      <c r="DL208" s="98"/>
      <c r="DM208" s="98"/>
      <c r="DN208" s="98"/>
      <c r="DO208" s="98"/>
      <c r="DP208" s="98"/>
      <c r="DQ208" s="98"/>
      <c r="DR208" s="98"/>
      <c r="DS208" s="98"/>
      <c r="DT208" s="98"/>
      <c r="DU208" s="98"/>
      <c r="DV208" s="98"/>
      <c r="DW208" s="98"/>
      <c r="DX208" s="98"/>
      <c r="DY208" s="98"/>
      <c r="DZ208" s="98"/>
      <c r="EA208" s="98"/>
      <c r="EB208" s="98"/>
      <c r="EC208" s="98"/>
      <c r="ED208" s="98"/>
      <c r="EE208" s="98"/>
      <c r="EF208" s="98"/>
      <c r="EG208" s="98"/>
      <c r="EH208" s="98"/>
      <c r="EI208" s="98"/>
      <c r="EJ208" s="98"/>
      <c r="EK208" s="98"/>
      <c r="EL208" s="98"/>
      <c r="EM208" s="98"/>
      <c r="EN208" s="98"/>
      <c r="EO208" s="98"/>
      <c r="EP208" s="98"/>
      <c r="EQ208" s="98"/>
      <c r="ER208" s="98"/>
      <c r="ES208" s="98"/>
      <c r="ET208" s="98"/>
      <c r="EU208" s="98"/>
      <c r="EV208" s="98"/>
      <c r="EW208" s="98"/>
      <c r="EX208" s="98"/>
      <c r="EY208" s="98"/>
      <c r="EZ208" s="98"/>
      <c r="FA208" s="98"/>
      <c r="FB208" s="98"/>
      <c r="FC208" s="98"/>
      <c r="FD208" s="98"/>
      <c r="FE208" s="98"/>
      <c r="FF208" s="98"/>
      <c r="FG208" s="98"/>
      <c r="FH208" s="98"/>
      <c r="FI208" s="98"/>
      <c r="FJ208" s="98"/>
      <c r="FK208" s="98"/>
      <c r="FL208" s="98"/>
      <c r="FM208" s="98"/>
      <c r="FN208" s="98"/>
      <c r="FO208" s="98"/>
      <c r="FP208" s="98"/>
      <c r="FQ208" s="98"/>
      <c r="FR208" s="98"/>
      <c r="FS208" s="98"/>
      <c r="FT208" s="98"/>
      <c r="FU208" s="98"/>
      <c r="FV208" s="98"/>
      <c r="FW208" s="98"/>
      <c r="FX208" s="98"/>
      <c r="FY208" s="98"/>
      <c r="FZ208" s="98"/>
      <c r="GA208" s="98"/>
      <c r="GB208" s="98"/>
      <c r="GC208" s="98"/>
      <c r="GD208" s="98"/>
      <c r="GE208" s="98"/>
      <c r="GF208" s="98"/>
      <c r="GG208" s="98"/>
      <c r="GH208" s="98"/>
      <c r="GI208" s="98"/>
      <c r="GJ208" s="98"/>
      <c r="GK208" s="98"/>
      <c r="GL208" s="98"/>
      <c r="GM208" s="98"/>
      <c r="GN208" s="98"/>
      <c r="GO208" s="98"/>
      <c r="GP208" s="98"/>
      <c r="GQ208" s="98"/>
      <c r="GR208" s="98"/>
      <c r="GS208" s="98"/>
      <c r="GT208" s="98"/>
      <c r="GU208" s="98"/>
      <c r="GV208" s="98"/>
      <c r="GW208" s="98"/>
      <c r="GX208" s="98"/>
      <c r="GY208" s="98"/>
      <c r="GZ208" s="98"/>
      <c r="HA208" s="98"/>
      <c r="HB208" s="98"/>
      <c r="HC208" s="98"/>
      <c r="HD208" s="98"/>
      <c r="HE208" s="98"/>
      <c r="HF208" s="98"/>
      <c r="HG208" s="98"/>
      <c r="HH208" s="98"/>
      <c r="HI208" s="98"/>
      <c r="HJ208" s="98"/>
      <c r="HK208" s="98"/>
      <c r="HL208" s="98"/>
      <c r="HM208" s="98"/>
      <c r="HN208" s="98"/>
      <c r="HO208" s="98"/>
      <c r="HP208" s="98"/>
      <c r="HQ208" s="98"/>
      <c r="HR208" s="98"/>
      <c r="HS208" s="98"/>
      <c r="HT208" s="98"/>
      <c r="HU208" s="98"/>
      <c r="HV208" s="98"/>
      <c r="HW208" s="98"/>
      <c r="HX208" s="98"/>
      <c r="HY208" s="98"/>
      <c r="HZ208" s="98"/>
      <c r="IA208" s="98"/>
      <c r="IB208" s="98"/>
      <c r="IC208" s="98"/>
      <c r="ID208" s="98"/>
      <c r="IE208" s="98"/>
      <c r="IF208" s="98"/>
      <c r="IG208" s="98"/>
      <c r="IH208" s="98"/>
      <c r="II208" s="98"/>
      <c r="IJ208" s="98"/>
      <c r="IK208" s="98"/>
      <c r="IL208" s="98"/>
      <c r="IM208" s="98"/>
      <c r="IN208" s="98"/>
      <c r="IO208" s="98"/>
      <c r="IP208" s="98"/>
      <c r="IQ208" s="98"/>
      <c r="IR208" s="98"/>
      <c r="IS208" s="98"/>
      <c r="IT208" s="98"/>
      <c r="IU208" s="98"/>
      <c r="IV208" s="98"/>
      <c r="IW208" s="98"/>
    </row>
    <row r="209" customFormat="false" ht="12.75" hidden="false" customHeight="true" outlineLevel="0" collapsed="false">
      <c r="A209" s="98"/>
      <c r="B209" s="294" t="s">
        <v>472</v>
      </c>
      <c r="C209" s="535" t="n">
        <f aca="false">393.946+68.9+1</f>
        <v>463.846</v>
      </c>
      <c r="D209" s="135" t="n">
        <f aca="false">423.4+71.6+4.7</f>
        <v>499.7</v>
      </c>
      <c r="E209" s="135" t="n">
        <f aca="false">380.76+96+3.1</f>
        <v>479.86</v>
      </c>
      <c r="F209" s="135" t="n">
        <f aca="false">321.5+145.2</f>
        <v>466.7</v>
      </c>
      <c r="G209" s="135" t="n">
        <f aca="false">295.566+167.2</f>
        <v>462.766</v>
      </c>
      <c r="H209" s="135" t="n">
        <f aca="false">220.053+223.5</f>
        <v>443.553</v>
      </c>
      <c r="I209" s="135" t="n">
        <f aca="false">219.7+241.1</f>
        <v>460.8</v>
      </c>
      <c r="J209" s="135" t="n">
        <f aca="false">220.7+252.4</f>
        <v>473.1</v>
      </c>
      <c r="K209" s="135" t="n">
        <f aca="false">221.4+238.8</f>
        <v>460.2</v>
      </c>
      <c r="L209" s="135" t="n">
        <f aca="false">320</f>
        <v>320</v>
      </c>
      <c r="M209" s="135" t="n">
        <v>308</v>
      </c>
      <c r="N209" s="536" t="n">
        <v>448.279</v>
      </c>
      <c r="O209" s="513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  <c r="BF209" s="98"/>
      <c r="BG209" s="98"/>
      <c r="BH209" s="98"/>
      <c r="BI209" s="98"/>
      <c r="BJ209" s="98"/>
      <c r="BK209" s="98"/>
      <c r="BL209" s="98"/>
      <c r="BM209" s="98"/>
      <c r="BN209" s="98"/>
      <c r="BO209" s="98"/>
      <c r="BP209" s="98"/>
      <c r="BQ209" s="98"/>
      <c r="BR209" s="98"/>
      <c r="BS209" s="98"/>
      <c r="BT209" s="98"/>
      <c r="BU209" s="98"/>
      <c r="BV209" s="98"/>
      <c r="BW209" s="98"/>
      <c r="BX209" s="98"/>
      <c r="BY209" s="98"/>
      <c r="BZ209" s="98"/>
      <c r="CA209" s="98"/>
      <c r="CB209" s="98"/>
      <c r="CC209" s="98"/>
      <c r="CD209" s="98"/>
      <c r="CE209" s="98"/>
      <c r="CF209" s="98"/>
      <c r="CG209" s="98"/>
      <c r="CH209" s="98"/>
      <c r="CI209" s="98"/>
      <c r="CJ209" s="98"/>
      <c r="CK209" s="98"/>
      <c r="CL209" s="98"/>
      <c r="CM209" s="98"/>
      <c r="CN209" s="98"/>
      <c r="CO209" s="98"/>
      <c r="CP209" s="98"/>
      <c r="CQ209" s="98"/>
      <c r="CR209" s="98"/>
      <c r="CS209" s="98"/>
      <c r="CT209" s="98"/>
      <c r="CU209" s="98"/>
      <c r="CV209" s="98"/>
      <c r="CW209" s="98"/>
      <c r="CX209" s="98"/>
      <c r="CY209" s="98"/>
      <c r="CZ209" s="98"/>
      <c r="DA209" s="98"/>
      <c r="DB209" s="98"/>
      <c r="DC209" s="98"/>
      <c r="DD209" s="98"/>
      <c r="DE209" s="98"/>
      <c r="DF209" s="98"/>
      <c r="DG209" s="98"/>
      <c r="DH209" s="98"/>
      <c r="DI209" s="98"/>
      <c r="DJ209" s="98"/>
      <c r="DK209" s="98"/>
      <c r="DL209" s="98"/>
      <c r="DM209" s="98"/>
      <c r="DN209" s="98"/>
      <c r="DO209" s="98"/>
      <c r="DP209" s="98"/>
      <c r="DQ209" s="98"/>
      <c r="DR209" s="98"/>
      <c r="DS209" s="98"/>
      <c r="DT209" s="98"/>
      <c r="DU209" s="98"/>
      <c r="DV209" s="98"/>
      <c r="DW209" s="98"/>
      <c r="DX209" s="98"/>
      <c r="DY209" s="98"/>
      <c r="DZ209" s="98"/>
      <c r="EA209" s="98"/>
      <c r="EB209" s="98"/>
      <c r="EC209" s="98"/>
      <c r="ED209" s="98"/>
      <c r="EE209" s="98"/>
      <c r="EF209" s="98"/>
      <c r="EG209" s="98"/>
      <c r="EH209" s="98"/>
      <c r="EI209" s="98"/>
      <c r="EJ209" s="98"/>
      <c r="EK209" s="98"/>
      <c r="EL209" s="98"/>
      <c r="EM209" s="98"/>
      <c r="EN209" s="98"/>
      <c r="EO209" s="98"/>
      <c r="EP209" s="98"/>
      <c r="EQ209" s="98"/>
      <c r="ER209" s="98"/>
      <c r="ES209" s="98"/>
      <c r="ET209" s="98"/>
      <c r="EU209" s="98"/>
      <c r="EV209" s="98"/>
      <c r="EW209" s="98"/>
      <c r="EX209" s="98"/>
      <c r="EY209" s="98"/>
      <c r="EZ209" s="98"/>
      <c r="FA209" s="98"/>
      <c r="FB209" s="98"/>
      <c r="FC209" s="98"/>
      <c r="FD209" s="98"/>
      <c r="FE209" s="98"/>
      <c r="FF209" s="98"/>
      <c r="FG209" s="98"/>
      <c r="FH209" s="98"/>
      <c r="FI209" s="98"/>
      <c r="FJ209" s="98"/>
      <c r="FK209" s="98"/>
      <c r="FL209" s="98"/>
      <c r="FM209" s="98"/>
      <c r="FN209" s="98"/>
      <c r="FO209" s="98"/>
      <c r="FP209" s="98"/>
      <c r="FQ209" s="98"/>
      <c r="FR209" s="98"/>
      <c r="FS209" s="98"/>
      <c r="FT209" s="98"/>
      <c r="FU209" s="98"/>
      <c r="FV209" s="98"/>
      <c r="FW209" s="98"/>
      <c r="FX209" s="98"/>
      <c r="FY209" s="98"/>
      <c r="FZ209" s="98"/>
      <c r="GA209" s="98"/>
      <c r="GB209" s="98"/>
      <c r="GC209" s="98"/>
      <c r="GD209" s="98"/>
      <c r="GE209" s="98"/>
      <c r="GF209" s="98"/>
      <c r="GG209" s="98"/>
      <c r="GH209" s="98"/>
      <c r="GI209" s="98"/>
      <c r="GJ209" s="98"/>
      <c r="GK209" s="98"/>
      <c r="GL209" s="98"/>
      <c r="GM209" s="98"/>
      <c r="GN209" s="98"/>
      <c r="GO209" s="98"/>
      <c r="GP209" s="98"/>
      <c r="GQ209" s="98"/>
      <c r="GR209" s="98"/>
      <c r="GS209" s="98"/>
      <c r="GT209" s="98"/>
      <c r="GU209" s="98"/>
      <c r="GV209" s="98"/>
      <c r="GW209" s="98"/>
      <c r="GX209" s="98"/>
      <c r="GY209" s="98"/>
      <c r="GZ209" s="98"/>
      <c r="HA209" s="98"/>
      <c r="HB209" s="98"/>
      <c r="HC209" s="98"/>
      <c r="HD209" s="98"/>
      <c r="HE209" s="98"/>
      <c r="HF209" s="98"/>
      <c r="HG209" s="98"/>
      <c r="HH209" s="98"/>
      <c r="HI209" s="98"/>
      <c r="HJ209" s="98"/>
      <c r="HK209" s="98"/>
      <c r="HL209" s="98"/>
      <c r="HM209" s="98"/>
      <c r="HN209" s="98"/>
      <c r="HO209" s="98"/>
      <c r="HP209" s="98"/>
      <c r="HQ209" s="98"/>
      <c r="HR209" s="98"/>
      <c r="HS209" s="98"/>
      <c r="HT209" s="98"/>
      <c r="HU209" s="98"/>
      <c r="HV209" s="98"/>
      <c r="HW209" s="98"/>
      <c r="HX209" s="98"/>
      <c r="HY209" s="98"/>
      <c r="HZ209" s="98"/>
      <c r="IA209" s="98"/>
      <c r="IB209" s="98"/>
      <c r="IC209" s="98"/>
      <c r="ID209" s="98"/>
      <c r="IE209" s="98"/>
      <c r="IF209" s="98"/>
      <c r="IG209" s="98"/>
      <c r="IH209" s="98"/>
      <c r="II209" s="98"/>
      <c r="IJ209" s="98"/>
      <c r="IK209" s="98"/>
      <c r="IL209" s="98"/>
      <c r="IM209" s="98"/>
      <c r="IN209" s="98"/>
      <c r="IO209" s="98"/>
      <c r="IP209" s="98"/>
      <c r="IQ209" s="98"/>
      <c r="IR209" s="98"/>
      <c r="IS209" s="98"/>
      <c r="IT209" s="98"/>
      <c r="IU209" s="98"/>
      <c r="IV209" s="98"/>
      <c r="IW209" s="98"/>
    </row>
    <row r="210" customFormat="false" ht="12.75" hidden="false" customHeight="true" outlineLevel="0" collapsed="false">
      <c r="B210" s="294" t="s">
        <v>118</v>
      </c>
      <c r="C210" s="526" t="n">
        <f aca="false">C209/C208</f>
        <v>0.997518279569893</v>
      </c>
      <c r="D210" s="527" t="n">
        <f aca="false">D209/D208</f>
        <v>1.07462365591398</v>
      </c>
      <c r="E210" s="527" t="n">
        <f aca="false">E209/E208</f>
        <v>1.03195698924731</v>
      </c>
      <c r="F210" s="527" t="n">
        <f aca="false">F209/F208</f>
        <v>0.962268041237113</v>
      </c>
      <c r="G210" s="527" t="n">
        <f aca="false">G209/G208</f>
        <v>0.954156701030928</v>
      </c>
      <c r="H210" s="527" t="n">
        <f aca="false">H209/H208</f>
        <v>0.953877419354839</v>
      </c>
      <c r="I210" s="527" t="n">
        <f aca="false">I209/I208</f>
        <v>0.990967741935484</v>
      </c>
      <c r="J210" s="527" t="n">
        <f aca="false">J209/J208</f>
        <v>1.01741935483871</v>
      </c>
      <c r="K210" s="527" t="n">
        <f aca="false">K209/K208</f>
        <v>0.989677419354839</v>
      </c>
      <c r="L210" s="527" t="n">
        <f aca="false">L209/L208</f>
        <v>0.646464646464647</v>
      </c>
      <c r="M210" s="527" t="n">
        <f aca="false">M209/M208</f>
        <v>0.622222222222222</v>
      </c>
      <c r="N210" s="525" t="n">
        <f aca="false">N209/N208</f>
        <v>0.964040860215054</v>
      </c>
      <c r="O210" s="516"/>
    </row>
    <row r="211" customFormat="false" ht="12.75" hidden="false" customHeight="true" outlineLevel="0" collapsed="false">
      <c r="O211" s="333"/>
    </row>
    <row r="212" customFormat="false" ht="12.75" hidden="false" customHeight="true" outlineLevel="0" collapsed="false">
      <c r="A212" s="294" t="n">
        <v>1998</v>
      </c>
      <c r="B212" s="501" t="s">
        <v>471</v>
      </c>
      <c r="C212" s="328" t="n">
        <v>465</v>
      </c>
      <c r="D212" s="329" t="n">
        <v>465</v>
      </c>
      <c r="E212" s="329" t="n">
        <v>465</v>
      </c>
      <c r="F212" s="329" t="n">
        <v>465</v>
      </c>
      <c r="G212" s="329" t="n">
        <v>465</v>
      </c>
      <c r="H212" s="329" t="n">
        <v>465</v>
      </c>
      <c r="I212" s="329" t="n">
        <v>465</v>
      </c>
      <c r="J212" s="329" t="n">
        <v>465</v>
      </c>
      <c r="K212" s="329" t="n">
        <v>465</v>
      </c>
      <c r="L212" s="329" t="n">
        <v>465</v>
      </c>
      <c r="M212" s="329" t="n">
        <v>465</v>
      </c>
      <c r="N212" s="331" t="n">
        <v>465</v>
      </c>
      <c r="O212" s="512"/>
    </row>
    <row r="213" customFormat="false" ht="12.75" hidden="false" customHeight="true" outlineLevel="0" collapsed="false">
      <c r="B213" s="294" t="s">
        <v>472</v>
      </c>
      <c r="C213" s="332" t="n">
        <v>474.6</v>
      </c>
      <c r="D213" s="333" t="n">
        <v>440.1</v>
      </c>
      <c r="E213" s="333" t="n">
        <v>376.6</v>
      </c>
      <c r="F213" s="333" t="n">
        <v>374.1</v>
      </c>
      <c r="G213" s="333" t="n">
        <v>294</v>
      </c>
      <c r="H213" s="333" t="n">
        <v>209.7</v>
      </c>
      <c r="I213" s="333" t="n">
        <v>221.2</v>
      </c>
      <c r="J213" s="333" t="n">
        <v>213</v>
      </c>
      <c r="K213" s="333" t="n">
        <v>214.9</v>
      </c>
      <c r="L213" s="333" t="n">
        <v>194.7</v>
      </c>
      <c r="M213" s="333" t="n">
        <v>340.7</v>
      </c>
      <c r="N213" s="337" t="n">
        <v>401.4</v>
      </c>
      <c r="O213" s="513"/>
    </row>
    <row r="214" customFormat="false" ht="12.75" hidden="false" customHeight="true" outlineLevel="0" collapsed="false">
      <c r="B214" s="294" t="s">
        <v>118</v>
      </c>
      <c r="C214" s="526" t="n">
        <f aca="false">C213/C212</f>
        <v>1.02064516129032</v>
      </c>
      <c r="D214" s="527" t="n">
        <f aca="false">D213/D212</f>
        <v>0.946451612903226</v>
      </c>
      <c r="E214" s="527" t="n">
        <f aca="false">E213/E212</f>
        <v>0.80989247311828</v>
      </c>
      <c r="F214" s="527" t="n">
        <f aca="false">F213/F212</f>
        <v>0.804516129032258</v>
      </c>
      <c r="G214" s="527" t="n">
        <f aca="false">G213/G212</f>
        <v>0.632258064516129</v>
      </c>
      <c r="H214" s="527" t="n">
        <f aca="false">H213/H212</f>
        <v>0.450967741935484</v>
      </c>
      <c r="I214" s="527" t="n">
        <f aca="false">I213/I212</f>
        <v>0.475698924731183</v>
      </c>
      <c r="J214" s="527" t="n">
        <f aca="false">J213/J212</f>
        <v>0.458064516129032</v>
      </c>
      <c r="K214" s="527" t="n">
        <f aca="false">K213/K212</f>
        <v>0.462150537634409</v>
      </c>
      <c r="L214" s="527" t="n">
        <f aca="false">L213/L212</f>
        <v>0.418709677419355</v>
      </c>
      <c r="M214" s="527" t="n">
        <f aca="false">M213/M212</f>
        <v>0.732688172043011</v>
      </c>
      <c r="N214" s="525" t="n">
        <f aca="false">N213/N212</f>
        <v>0.863225806451613</v>
      </c>
      <c r="O214" s="516"/>
    </row>
    <row r="215" customFormat="false" ht="12.75" hidden="false" customHeight="true" outlineLevel="0" collapsed="false">
      <c r="O215" s="333"/>
    </row>
    <row r="216" customFormat="false" ht="12.75" hidden="false" customHeight="true" outlineLevel="0" collapsed="false">
      <c r="A216" s="294" t="n">
        <v>1997</v>
      </c>
      <c r="B216" s="501" t="s">
        <v>471</v>
      </c>
      <c r="C216" s="328" t="n">
        <v>459.6</v>
      </c>
      <c r="D216" s="329" t="n">
        <v>465</v>
      </c>
      <c r="E216" s="329" t="n">
        <v>465</v>
      </c>
      <c r="F216" s="329" t="n">
        <v>465</v>
      </c>
      <c r="G216" s="329" t="n">
        <v>536.9</v>
      </c>
      <c r="H216" s="329" t="n">
        <v>465</v>
      </c>
      <c r="I216" s="329" t="n">
        <v>465</v>
      </c>
      <c r="J216" s="329" t="n">
        <v>391.6</v>
      </c>
      <c r="K216" s="329" t="n">
        <v>465</v>
      </c>
      <c r="L216" s="329" t="n">
        <v>465</v>
      </c>
      <c r="M216" s="329" t="n">
        <v>465</v>
      </c>
      <c r="N216" s="331" t="n">
        <v>465</v>
      </c>
      <c r="O216" s="512"/>
    </row>
    <row r="217" customFormat="false" ht="12.75" hidden="false" customHeight="true" outlineLevel="0" collapsed="false">
      <c r="B217" s="294" t="s">
        <v>472</v>
      </c>
      <c r="C217" s="332" t="n">
        <v>217.6</v>
      </c>
      <c r="D217" s="333" t="n">
        <v>209.8</v>
      </c>
      <c r="E217" s="333" t="n">
        <v>262.3</v>
      </c>
      <c r="F217" s="333" t="n">
        <v>249</v>
      </c>
      <c r="G217" s="333" t="n">
        <v>273.2</v>
      </c>
      <c r="H217" s="333" t="n">
        <v>209.1</v>
      </c>
      <c r="I217" s="333" t="n">
        <v>216.4</v>
      </c>
      <c r="J217" s="333" t="n">
        <v>219.4</v>
      </c>
      <c r="K217" s="333" t="n">
        <v>212.5</v>
      </c>
      <c r="L217" s="333" t="n">
        <v>194.7</v>
      </c>
      <c r="M217" s="333" t="n">
        <v>225.6</v>
      </c>
      <c r="N217" s="337" t="n">
        <v>160.4</v>
      </c>
      <c r="O217" s="513"/>
    </row>
    <row r="218" customFormat="false" ht="12.75" hidden="false" customHeight="true" outlineLevel="0" collapsed="false">
      <c r="B218" s="294" t="s">
        <v>118</v>
      </c>
      <c r="C218" s="526" t="n">
        <f aca="false">C217/C216</f>
        <v>0.473455178416014</v>
      </c>
      <c r="D218" s="527" t="n">
        <f aca="false">D217/D216</f>
        <v>0.451182795698925</v>
      </c>
      <c r="E218" s="527" t="n">
        <f aca="false">E217/E216</f>
        <v>0.564086021505376</v>
      </c>
      <c r="F218" s="527" t="n">
        <f aca="false">F217/F216</f>
        <v>0.535483870967742</v>
      </c>
      <c r="G218" s="527" t="n">
        <f aca="false">G217/G216</f>
        <v>0.508847085118272</v>
      </c>
      <c r="H218" s="527" t="n">
        <f aca="false">H217/H216</f>
        <v>0.449677419354839</v>
      </c>
      <c r="I218" s="527" t="n">
        <f aca="false">I217/I216</f>
        <v>0.465376344086022</v>
      </c>
      <c r="J218" s="527" t="n">
        <f aca="false">J217/J216</f>
        <v>0.56026557711951</v>
      </c>
      <c r="K218" s="527" t="n">
        <f aca="false">K217/K216</f>
        <v>0.456989247311828</v>
      </c>
      <c r="L218" s="527" t="n">
        <f aca="false">L217/L216</f>
        <v>0.418709677419355</v>
      </c>
      <c r="M218" s="527" t="n">
        <f aca="false">M217/M216</f>
        <v>0.485161290322581</v>
      </c>
      <c r="N218" s="525" t="n">
        <f aca="false">N217/N216</f>
        <v>0.34494623655914</v>
      </c>
      <c r="O218" s="516"/>
    </row>
    <row r="219" customFormat="false" ht="12.75" hidden="false" customHeight="true" outlineLevel="0" collapsed="false">
      <c r="O219" s="333"/>
    </row>
    <row r="220" customFormat="false" ht="12.75" hidden="false" customHeight="true" outlineLevel="0" collapsed="false">
      <c r="O220" s="333"/>
    </row>
    <row r="221" customFormat="false" ht="12.75" hidden="false" customHeight="true" outlineLevel="0" collapsed="false">
      <c r="O221" s="3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122"/>
  <sheetViews>
    <sheetView showFormulas="false" showGridLines="true" showRowColHeaders="true" showZeros="true" rightToLeft="false" tabSelected="false" showOutlineSymbols="true" defaultGridColor="true" view="normal" topLeftCell="R1" colorId="64" zoomScale="100" zoomScaleNormal="100" zoomScalePageLayoutView="100" workbookViewId="0">
      <pane xSplit="0" ySplit="5" topLeftCell="BM14" activePane="bottomLeft" state="frozen"/>
      <selection pane="topLeft" activeCell="R1" activeCellId="0" sqref="R1"/>
      <selection pane="bottomLeft" activeCell="U24" activeCellId="0" sqref="U24:V24"/>
    </sheetView>
  </sheetViews>
  <sheetFormatPr defaultColWidth="20.9921875" defaultRowHeight="12.75" customHeight="true" zeroHeight="false" outlineLevelRow="0" outlineLevelCol="0"/>
  <cols>
    <col collapsed="false" customWidth="false" hidden="false" outlineLevel="0" max="5" min="1" style="294" width="20.98"/>
    <col collapsed="false" customWidth="true" hidden="false" outlineLevel="0" max="6" min="6" style="294" width="40.38"/>
    <col collapsed="false" customWidth="false" hidden="false" outlineLevel="0" max="257" min="7" style="294" width="20.98"/>
  </cols>
  <sheetData>
    <row r="2" customFormat="false" ht="12.75" hidden="false" customHeight="true" outlineLevel="0" collapsed="false">
      <c r="K2" s="360" t="n">
        <v>31</v>
      </c>
      <c r="L2" s="360" t="n">
        <v>28</v>
      </c>
      <c r="M2" s="360" t="n">
        <v>31</v>
      </c>
      <c r="N2" s="360" t="n">
        <v>30</v>
      </c>
      <c r="O2" s="360" t="n">
        <v>31</v>
      </c>
      <c r="P2" s="360" t="n">
        <v>30</v>
      </c>
      <c r="Q2" s="360" t="n">
        <v>31</v>
      </c>
      <c r="R2" s="360" t="n">
        <v>31</v>
      </c>
      <c r="S2" s="360" t="n">
        <v>30</v>
      </c>
      <c r="T2" s="360" t="n">
        <v>31</v>
      </c>
      <c r="U2" s="360" t="n">
        <v>30</v>
      </c>
      <c r="V2" s="360" t="n">
        <v>31</v>
      </c>
    </row>
    <row r="3" customFormat="false" ht="12.75" hidden="false" customHeight="true" outlineLevel="0" collapsed="false"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</row>
    <row r="4" customFormat="false" ht="12.75" hidden="false" customHeight="true" outlineLevel="0" collapsed="false"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</row>
    <row r="5" customFormat="false" ht="12.75" hidden="false" customHeight="true" outlineLevel="0" collapsed="false">
      <c r="K5" s="360" t="s">
        <v>233</v>
      </c>
      <c r="L5" s="360" t="s">
        <v>234</v>
      </c>
      <c r="M5" s="360" t="s">
        <v>98</v>
      </c>
      <c r="N5" s="360" t="s">
        <v>99</v>
      </c>
      <c r="O5" s="360" t="s">
        <v>100</v>
      </c>
      <c r="P5" s="360" t="s">
        <v>101</v>
      </c>
      <c r="Q5" s="360" t="s">
        <v>102</v>
      </c>
      <c r="R5" s="360" t="s">
        <v>239</v>
      </c>
      <c r="S5" s="360" t="s">
        <v>326</v>
      </c>
      <c r="T5" s="360" t="s">
        <v>241</v>
      </c>
      <c r="U5" s="360" t="s">
        <v>242</v>
      </c>
      <c r="V5" s="360" t="s">
        <v>243</v>
      </c>
      <c r="W5" s="294" t="s">
        <v>244</v>
      </c>
    </row>
    <row r="6" customFormat="false" ht="12.75" hidden="false" customHeight="true" outlineLevel="0" collapsed="false">
      <c r="A6" s="294" t="s">
        <v>476</v>
      </c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</row>
    <row r="7" customFormat="false" ht="12.75" hidden="false" customHeight="true" outlineLevel="0" collapsed="false">
      <c r="A7" s="294" t="s">
        <v>477</v>
      </c>
    </row>
    <row r="10" customFormat="false" ht="12.75" hidden="false" customHeight="true" outlineLevel="0" collapsed="false">
      <c r="A10" s="294" t="s">
        <v>334</v>
      </c>
      <c r="B10" s="294" t="s">
        <v>335</v>
      </c>
      <c r="C10" s="294" t="s">
        <v>478</v>
      </c>
      <c r="D10" s="294" t="s">
        <v>336</v>
      </c>
      <c r="E10" s="359" t="s">
        <v>337</v>
      </c>
      <c r="F10" s="294" t="s">
        <v>338</v>
      </c>
      <c r="G10" s="294" t="s">
        <v>339</v>
      </c>
      <c r="H10" s="359" t="s">
        <v>340</v>
      </c>
      <c r="I10" s="360" t="s">
        <v>341</v>
      </c>
      <c r="J10" s="294" t="s">
        <v>225</v>
      </c>
    </row>
    <row r="11" customFormat="false" ht="12.75" hidden="false" customHeight="true" outlineLevel="0" collapsed="false">
      <c r="E11" s="359"/>
      <c r="H11" s="359"/>
      <c r="I11" s="360"/>
    </row>
    <row r="12" customFormat="false" ht="12.75" hidden="false" customHeight="true" outlineLevel="0" collapsed="false">
      <c r="A12" s="294" t="s">
        <v>343</v>
      </c>
      <c r="B12" s="294" t="s">
        <v>344</v>
      </c>
      <c r="C12" s="294" t="s">
        <v>5</v>
      </c>
      <c r="D12" s="294" t="s">
        <v>332</v>
      </c>
      <c r="E12" s="374" t="n">
        <v>26751</v>
      </c>
      <c r="F12" s="294" t="s">
        <v>345</v>
      </c>
      <c r="H12" s="378" t="n">
        <v>36922</v>
      </c>
      <c r="I12" s="360" t="n">
        <v>20000</v>
      </c>
      <c r="J12" s="294" t="n">
        <f aca="false">0.1064+0.0246</f>
        <v>0.131</v>
      </c>
      <c r="L12" s="360" t="n">
        <f aca="false">$I12*$J12*L$2</f>
        <v>73360</v>
      </c>
      <c r="M12" s="360" t="n">
        <f aca="false">$I12*$J12*M$2</f>
        <v>81220</v>
      </c>
      <c r="N12" s="360" t="n">
        <f aca="false">$I12*$J12*N$2</f>
        <v>78600</v>
      </c>
      <c r="O12" s="360" t="n">
        <f aca="false">$I12*$J12*O$2</f>
        <v>81220</v>
      </c>
      <c r="P12" s="360" t="n">
        <f aca="false">$I12*$J12*P$2</f>
        <v>78600</v>
      </c>
      <c r="Q12" s="360" t="n">
        <f aca="false">$I12*$J12*Q$2</f>
        <v>81220</v>
      </c>
      <c r="R12" s="360" t="n">
        <f aca="false">$I12*$J12*R$2</f>
        <v>81220</v>
      </c>
      <c r="S12" s="360" t="n">
        <f aca="false">$I12*$J12*S$2</f>
        <v>78600</v>
      </c>
      <c r="T12" s="360" t="n">
        <f aca="false">$I12*$J12*T$2</f>
        <v>81220</v>
      </c>
      <c r="U12" s="360" t="n">
        <f aca="false">$I12*$J12*U$2</f>
        <v>78600</v>
      </c>
      <c r="V12" s="360" t="n">
        <f aca="false">$I12*$J12*V$2</f>
        <v>81220</v>
      </c>
      <c r="W12" s="360" t="n">
        <f aca="false">SUM(L12:V12)</f>
        <v>875080</v>
      </c>
    </row>
    <row r="13" customFormat="false" ht="12.75" hidden="false" customHeight="true" outlineLevel="0" collapsed="false">
      <c r="A13" s="294" t="s">
        <v>343</v>
      </c>
      <c r="B13" s="294" t="s">
        <v>344</v>
      </c>
      <c r="C13" s="294" t="s">
        <v>5</v>
      </c>
      <c r="D13" s="294" t="s">
        <v>332</v>
      </c>
      <c r="E13" s="374" t="n">
        <v>26490</v>
      </c>
      <c r="F13" s="294" t="s">
        <v>350</v>
      </c>
      <c r="G13" s="375" t="n">
        <v>36100</v>
      </c>
      <c r="H13" s="378" t="n">
        <v>37195</v>
      </c>
      <c r="I13" s="360" t="n">
        <v>70000</v>
      </c>
      <c r="J13" s="294" t="n">
        <f aca="false">0.1154+0.0246</f>
        <v>0.14</v>
      </c>
      <c r="L13" s="360"/>
      <c r="M13" s="360"/>
      <c r="N13" s="360"/>
      <c r="O13" s="360"/>
      <c r="P13" s="360"/>
      <c r="Q13" s="360"/>
      <c r="R13" s="360"/>
      <c r="S13" s="360"/>
      <c r="T13" s="360"/>
      <c r="U13" s="360" t="n">
        <f aca="false">$I13*$J13*U$2</f>
        <v>294000</v>
      </c>
      <c r="V13" s="360" t="n">
        <f aca="false">$I13*$J13*V$2</f>
        <v>303800</v>
      </c>
      <c r="W13" s="360" t="n">
        <f aca="false">SUM(L13:V13)</f>
        <v>597800</v>
      </c>
    </row>
    <row r="14" customFormat="false" ht="12.75" hidden="false" customHeight="true" outlineLevel="0" collapsed="false">
      <c r="A14" s="294" t="s">
        <v>343</v>
      </c>
      <c r="B14" s="294" t="s">
        <v>344</v>
      </c>
      <c r="C14" s="294" t="s">
        <v>5</v>
      </c>
      <c r="D14" s="294" t="s">
        <v>332</v>
      </c>
      <c r="E14" s="359" t="n">
        <v>26683</v>
      </c>
      <c r="F14" s="294" t="s">
        <v>356</v>
      </c>
      <c r="G14" s="375" t="n">
        <v>36220</v>
      </c>
      <c r="H14" s="378" t="n">
        <v>36981</v>
      </c>
      <c r="I14" s="360" t="n">
        <v>8000</v>
      </c>
      <c r="J14" s="294" t="n">
        <f aca="false">0.1274+0.0246</f>
        <v>0.152</v>
      </c>
      <c r="L14" s="360"/>
      <c r="M14" s="360"/>
      <c r="N14" s="360" t="n">
        <f aca="false">$I14*$J14*N$2</f>
        <v>36480</v>
      </c>
      <c r="O14" s="360" t="n">
        <f aca="false">$I14*$J14*O$2</f>
        <v>37696</v>
      </c>
      <c r="P14" s="360" t="n">
        <f aca="false">$I14*$J14*P$2</f>
        <v>36480</v>
      </c>
      <c r="Q14" s="360" t="n">
        <f aca="false">$I14*$J14*Q$2</f>
        <v>37696</v>
      </c>
      <c r="R14" s="360" t="n">
        <f aca="false">$I14*$J14*R$2</f>
        <v>37696</v>
      </c>
      <c r="S14" s="360" t="n">
        <f aca="false">$I14*$J14*S$2</f>
        <v>36480</v>
      </c>
      <c r="T14" s="360" t="n">
        <f aca="false">$I14*$J14*T$2</f>
        <v>37696</v>
      </c>
      <c r="U14" s="360" t="n">
        <f aca="false">$I14*$J14*U$2</f>
        <v>36480</v>
      </c>
      <c r="V14" s="360" t="n">
        <f aca="false">$I14*$J14*V$2</f>
        <v>37696</v>
      </c>
      <c r="W14" s="360" t="n">
        <f aca="false">SUM(L14:V14)</f>
        <v>334400</v>
      </c>
    </row>
    <row r="15" customFormat="false" ht="12.75" hidden="false" customHeight="true" outlineLevel="0" collapsed="false">
      <c r="E15" s="359"/>
      <c r="H15" s="378"/>
      <c r="I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</row>
    <row r="16" customFormat="false" ht="12.75" hidden="false" customHeight="true" outlineLevel="0" collapsed="false">
      <c r="E16" s="359"/>
      <c r="H16" s="378"/>
      <c r="I16" s="360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</row>
    <row r="17" customFormat="false" ht="12.75" hidden="false" customHeight="true" outlineLevel="0" collapsed="false">
      <c r="E17" s="359"/>
      <c r="H17" s="378"/>
      <c r="I17" s="360"/>
      <c r="L17" s="360" t="n">
        <f aca="false">SUM(L12:L16)</f>
        <v>73360</v>
      </c>
      <c r="M17" s="360" t="n">
        <f aca="false">SUM(M12:M16)</f>
        <v>81220</v>
      </c>
      <c r="N17" s="360" t="n">
        <f aca="false">SUM(N12:N16)</f>
        <v>115080</v>
      </c>
      <c r="O17" s="360" t="n">
        <f aca="false">SUM(O12:O16)</f>
        <v>118916</v>
      </c>
      <c r="P17" s="360" t="n">
        <f aca="false">SUM(P12:P16)</f>
        <v>115080</v>
      </c>
      <c r="Q17" s="360" t="n">
        <f aca="false">SUM(Q12:Q16)</f>
        <v>118916</v>
      </c>
      <c r="R17" s="360" t="n">
        <f aca="false">SUM(R12:R16)</f>
        <v>118916</v>
      </c>
      <c r="S17" s="360" t="n">
        <f aca="false">SUM(S12:S16)</f>
        <v>115080</v>
      </c>
      <c r="T17" s="360" t="n">
        <f aca="false">SUM(T12:T16)</f>
        <v>118916</v>
      </c>
      <c r="U17" s="360" t="n">
        <f aca="false">SUM(U12:U16)</f>
        <v>409080</v>
      </c>
      <c r="V17" s="360" t="n">
        <f aca="false">SUM(V12:V16)</f>
        <v>422716</v>
      </c>
      <c r="W17" s="360" t="n">
        <f aca="false">SUM(W12:W16)</f>
        <v>1807280</v>
      </c>
    </row>
    <row r="18" customFormat="false" ht="12.75" hidden="false" customHeight="true" outlineLevel="0" collapsed="false">
      <c r="E18" s="359"/>
      <c r="H18" s="378"/>
      <c r="I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  <row r="19" customFormat="false" ht="12.75" hidden="false" customHeight="true" outlineLevel="0" collapsed="false">
      <c r="A19" s="294" t="s">
        <v>231</v>
      </c>
      <c r="B19" s="294" t="s">
        <v>425</v>
      </c>
      <c r="C19" s="294" t="s">
        <v>5</v>
      </c>
      <c r="D19" s="294" t="s">
        <v>332</v>
      </c>
      <c r="E19" s="538" t="n">
        <v>24194</v>
      </c>
      <c r="F19" s="462" t="s">
        <v>426</v>
      </c>
      <c r="H19" s="463" t="n">
        <v>37164</v>
      </c>
      <c r="I19" s="464" t="n">
        <v>25000</v>
      </c>
      <c r="J19" s="294" t="n">
        <f aca="false">0.1007+0.0093</f>
        <v>0.11</v>
      </c>
      <c r="L19" s="360"/>
      <c r="M19" s="360"/>
      <c r="N19" s="360"/>
      <c r="O19" s="360"/>
      <c r="P19" s="360"/>
      <c r="Q19" s="360"/>
      <c r="R19" s="360"/>
      <c r="S19" s="360"/>
      <c r="T19" s="360" t="n">
        <f aca="false">10000*$J19*T$2</f>
        <v>34100</v>
      </c>
      <c r="U19" s="360" t="n">
        <f aca="false">40000*$J19*U$2</f>
        <v>132000</v>
      </c>
      <c r="V19" s="360" t="n">
        <f aca="false">40000*$J19*V$2</f>
        <v>136400</v>
      </c>
      <c r="W19" s="360" t="n">
        <f aca="false">SUM(L19:V19)</f>
        <v>302500</v>
      </c>
    </row>
    <row r="20" customFormat="false" ht="12.75" hidden="false" customHeight="true" outlineLevel="0" collapsed="false">
      <c r="E20" s="538"/>
      <c r="F20" s="462"/>
      <c r="H20" s="463"/>
      <c r="I20" s="464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</row>
    <row r="21" customFormat="false" ht="12.75" hidden="false" customHeight="true" outlineLevel="0" collapsed="false">
      <c r="A21" s="294" t="s">
        <v>231</v>
      </c>
      <c r="B21" s="294" t="s">
        <v>425</v>
      </c>
      <c r="C21" s="294" t="s">
        <v>5</v>
      </c>
      <c r="D21" s="294" t="s">
        <v>332</v>
      </c>
      <c r="E21" s="539" t="n">
        <v>24690</v>
      </c>
      <c r="F21" s="466" t="s">
        <v>430</v>
      </c>
      <c r="H21" s="467" t="n">
        <v>36981</v>
      </c>
      <c r="I21" s="468" t="n">
        <v>15000</v>
      </c>
      <c r="J21" s="294" t="n">
        <f aca="false">0.0607+0.0093</f>
        <v>0.07</v>
      </c>
      <c r="L21" s="360"/>
      <c r="M21" s="360"/>
      <c r="N21" s="360" t="n">
        <f aca="false">$I21*$J21*N$2</f>
        <v>31500</v>
      </c>
      <c r="O21" s="360" t="n">
        <f aca="false">$I21*$J21*O$2</f>
        <v>32550</v>
      </c>
      <c r="P21" s="360" t="n">
        <f aca="false">$I21*$J21*P$2</f>
        <v>31500</v>
      </c>
      <c r="Q21" s="360" t="n">
        <f aca="false">$I21*$J21*Q$2</f>
        <v>32550</v>
      </c>
      <c r="R21" s="360" t="n">
        <f aca="false">$I21*$J21*R$2</f>
        <v>32550</v>
      </c>
      <c r="S21" s="360" t="n">
        <f aca="false">$I21*$J21*S$2</f>
        <v>31500</v>
      </c>
      <c r="T21" s="360" t="n">
        <f aca="false">$I21*$J21*T$2</f>
        <v>32550</v>
      </c>
      <c r="U21" s="360" t="n">
        <f aca="false">$I21*$J21*U$2</f>
        <v>31500</v>
      </c>
      <c r="V21" s="360" t="n">
        <f aca="false">$I21*$J21*V$2</f>
        <v>32550</v>
      </c>
      <c r="W21" s="360" t="n">
        <f aca="false">SUM(L21:V21)</f>
        <v>288750</v>
      </c>
    </row>
    <row r="22" customFormat="false" ht="12.75" hidden="false" customHeight="true" outlineLevel="0" collapsed="false">
      <c r="A22" s="294" t="s">
        <v>231</v>
      </c>
      <c r="B22" s="294" t="s">
        <v>425</v>
      </c>
      <c r="C22" s="294" t="s">
        <v>5</v>
      </c>
      <c r="D22" s="294" t="s">
        <v>332</v>
      </c>
      <c r="E22" s="539" t="n">
        <v>24754</v>
      </c>
      <c r="F22" s="466" t="s">
        <v>431</v>
      </c>
      <c r="H22" s="481" t="n">
        <v>37011</v>
      </c>
      <c r="I22" s="468" t="n">
        <v>1000</v>
      </c>
      <c r="J22" s="294" t="n">
        <f aca="false">0.0907+0.0093</f>
        <v>0.1</v>
      </c>
      <c r="L22" s="360"/>
      <c r="M22" s="360"/>
      <c r="N22" s="360"/>
      <c r="O22" s="360" t="n">
        <f aca="false">$I22*$J22*O$2</f>
        <v>3100</v>
      </c>
      <c r="P22" s="360" t="n">
        <f aca="false">$I22*$J22*P$2</f>
        <v>3000</v>
      </c>
      <c r="Q22" s="360" t="n">
        <f aca="false">$I22*$J22*Q$2</f>
        <v>3100</v>
      </c>
      <c r="R22" s="360" t="n">
        <f aca="false">$I22*$J22*R$2</f>
        <v>3100</v>
      </c>
      <c r="S22" s="360" t="n">
        <f aca="false">$I22*$J22*S$2</f>
        <v>3000</v>
      </c>
      <c r="T22" s="360" t="n">
        <f aca="false">$I22*$J22*T$2</f>
        <v>3100</v>
      </c>
      <c r="U22" s="360" t="n">
        <f aca="false">$I22*$J22*U$2</f>
        <v>3000</v>
      </c>
      <c r="V22" s="360" t="n">
        <f aca="false">$I22*$J22*V$2</f>
        <v>3100</v>
      </c>
      <c r="W22" s="360" t="n">
        <f aca="false">SUM(L22:V22)</f>
        <v>24500</v>
      </c>
    </row>
    <row r="23" customFormat="false" ht="12.75" hidden="false" customHeight="true" outlineLevel="0" collapsed="false">
      <c r="A23" s="294" t="s">
        <v>231</v>
      </c>
      <c r="B23" s="294" t="s">
        <v>425</v>
      </c>
      <c r="C23" s="294" t="s">
        <v>5</v>
      </c>
      <c r="D23" s="294" t="s">
        <v>332</v>
      </c>
      <c r="E23" s="539" t="s">
        <v>433</v>
      </c>
      <c r="F23" s="466" t="s">
        <v>357</v>
      </c>
      <c r="H23" s="467" t="n">
        <v>36950</v>
      </c>
      <c r="I23" s="468" t="n">
        <v>10000</v>
      </c>
      <c r="J23" s="294" t="n">
        <f aca="false">0.0107+0.0093</f>
        <v>0.02</v>
      </c>
      <c r="L23" s="360"/>
      <c r="M23" s="360" t="n">
        <f aca="false">$I23*$J23*M$2</f>
        <v>6200</v>
      </c>
      <c r="N23" s="360" t="n">
        <f aca="false">$I23*$J23*N$2</f>
        <v>6000</v>
      </c>
      <c r="O23" s="360" t="n">
        <f aca="false">$I23*$J23*O$2</f>
        <v>6200</v>
      </c>
      <c r="P23" s="360" t="n">
        <f aca="false">$I23*$J23*P$2</f>
        <v>6000</v>
      </c>
      <c r="Q23" s="360" t="n">
        <f aca="false">$I23*$J23*Q$2</f>
        <v>6200</v>
      </c>
      <c r="R23" s="360" t="n">
        <f aca="false">$I23*$J23*R$2</f>
        <v>6200</v>
      </c>
      <c r="S23" s="360" t="n">
        <f aca="false">$I23*$J23*S$2</f>
        <v>6000</v>
      </c>
      <c r="T23" s="360" t="n">
        <f aca="false">$I23*$J23*T$2</f>
        <v>6200</v>
      </c>
      <c r="U23" s="360" t="n">
        <f aca="false">$I23*$J23*U$2</f>
        <v>6000</v>
      </c>
      <c r="V23" s="360" t="n">
        <f aca="false">$I23*$J23*V$2</f>
        <v>6200</v>
      </c>
      <c r="W23" s="360" t="n">
        <f aca="false">SUM(L23:V23)</f>
        <v>61200</v>
      </c>
    </row>
    <row r="24" customFormat="false" ht="12.75" hidden="false" customHeight="true" outlineLevel="0" collapsed="false">
      <c r="A24" s="294" t="s">
        <v>231</v>
      </c>
      <c r="B24" s="294" t="s">
        <v>425</v>
      </c>
      <c r="C24" s="294" t="s">
        <v>5</v>
      </c>
      <c r="D24" s="294" t="s">
        <v>332</v>
      </c>
      <c r="E24" s="539" t="n">
        <v>27161</v>
      </c>
      <c r="F24" s="466" t="s">
        <v>434</v>
      </c>
      <c r="H24" s="467" t="n">
        <v>37195</v>
      </c>
      <c r="I24" s="472" t="n">
        <v>400000</v>
      </c>
      <c r="J24" s="294" t="n">
        <v>0.0075</v>
      </c>
      <c r="L24" s="360"/>
      <c r="M24" s="360"/>
      <c r="N24" s="360"/>
      <c r="O24" s="360"/>
      <c r="P24" s="360"/>
      <c r="Q24" s="360"/>
      <c r="R24" s="360"/>
      <c r="S24" s="360"/>
      <c r="T24" s="360"/>
      <c r="U24" s="360" t="n">
        <f aca="false">$I24*$J24*U$2</f>
        <v>90000</v>
      </c>
      <c r="V24" s="360" t="n">
        <f aca="false">$I24*$J24*V$2</f>
        <v>93000</v>
      </c>
      <c r="W24" s="360" t="n">
        <f aca="false">SUM(L24:V24)</f>
        <v>183000</v>
      </c>
    </row>
    <row r="25" customFormat="false" ht="12.75" hidden="false" customHeight="true" outlineLevel="0" collapsed="false">
      <c r="A25" s="294" t="s">
        <v>231</v>
      </c>
      <c r="B25" s="294" t="s">
        <v>425</v>
      </c>
      <c r="C25" s="294" t="s">
        <v>5</v>
      </c>
      <c r="D25" s="294" t="s">
        <v>332</v>
      </c>
      <c r="E25" s="539" t="s">
        <v>435</v>
      </c>
      <c r="F25" s="466" t="s">
        <v>350</v>
      </c>
      <c r="H25" s="467" t="n">
        <v>37195</v>
      </c>
      <c r="I25" s="540" t="n">
        <v>40000</v>
      </c>
      <c r="J25" s="294" t="n">
        <v>0.06</v>
      </c>
      <c r="L25" s="368"/>
      <c r="M25" s="368"/>
      <c r="N25" s="368"/>
      <c r="O25" s="368"/>
      <c r="P25" s="368"/>
      <c r="Q25" s="368"/>
      <c r="R25" s="368"/>
      <c r="S25" s="368"/>
      <c r="T25" s="368"/>
      <c r="U25" s="368" t="n">
        <f aca="false">$I25*$J25*U$2</f>
        <v>72000</v>
      </c>
      <c r="V25" s="368" t="n">
        <f aca="false">$I25*$J25*V$2</f>
        <v>74400</v>
      </c>
      <c r="W25" s="368" t="n">
        <f aca="false">SUM(L25:V25)</f>
        <v>146400</v>
      </c>
    </row>
    <row r="26" customFormat="false" ht="12.75" hidden="false" customHeight="true" outlineLevel="0" collapsed="false">
      <c r="E26" s="539"/>
      <c r="F26" s="466"/>
      <c r="H26" s="467"/>
      <c r="I26" s="472" t="n">
        <f aca="false">SUM(I19:I25)</f>
        <v>491000</v>
      </c>
      <c r="L26" s="360" t="n">
        <f aca="false">SUM(L19:L25)</f>
        <v>0</v>
      </c>
      <c r="M26" s="360" t="n">
        <f aca="false">SUM(M19:M25)</f>
        <v>6200</v>
      </c>
      <c r="N26" s="360" t="n">
        <f aca="false">SUM(N19:N25)</f>
        <v>37500</v>
      </c>
      <c r="O26" s="360" t="n">
        <f aca="false">SUM(O19:O25)</f>
        <v>41850</v>
      </c>
      <c r="P26" s="360" t="n">
        <f aca="false">SUM(P19:P25)</f>
        <v>40500</v>
      </c>
      <c r="Q26" s="360" t="n">
        <f aca="false">SUM(Q19:Q25)</f>
        <v>41850</v>
      </c>
      <c r="R26" s="360" t="n">
        <f aca="false">SUM(R19:R25)</f>
        <v>41850</v>
      </c>
      <c r="S26" s="360" t="n">
        <f aca="false">SUM(S19:S25)</f>
        <v>40500</v>
      </c>
      <c r="T26" s="360" t="n">
        <f aca="false">SUM(T19:T25)</f>
        <v>75950</v>
      </c>
      <c r="U26" s="360" t="n">
        <f aca="false">SUM(U19:U25)</f>
        <v>334500</v>
      </c>
      <c r="V26" s="360" t="n">
        <f aca="false">SUM(V19:V25)</f>
        <v>345650</v>
      </c>
      <c r="W26" s="360" t="n">
        <f aca="false">SUM(W19:W25)</f>
        <v>1006350</v>
      </c>
    </row>
    <row r="27" customFormat="false" ht="12.75" hidden="false" customHeight="true" outlineLevel="0" collapsed="false">
      <c r="E27" s="539"/>
      <c r="F27" s="466"/>
      <c r="H27" s="467"/>
      <c r="I27" s="472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</row>
    <row r="28" customFormat="false" ht="12.75" hidden="false" customHeight="true" outlineLevel="0" collapsed="false">
      <c r="A28" s="294" t="s">
        <v>405</v>
      </c>
      <c r="B28" s="294" t="s">
        <v>406</v>
      </c>
      <c r="C28" s="294" t="s">
        <v>5</v>
      </c>
      <c r="D28" s="294" t="s">
        <v>332</v>
      </c>
      <c r="E28" s="374" t="n">
        <v>25067</v>
      </c>
      <c r="F28" s="440" t="s">
        <v>407</v>
      </c>
      <c r="H28" s="378" t="n">
        <v>37225</v>
      </c>
      <c r="I28" s="360" t="n">
        <v>15000</v>
      </c>
      <c r="J28" s="294" t="n">
        <v>0.045</v>
      </c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 t="n">
        <f aca="false">$I28*$J28*V$2</f>
        <v>20925</v>
      </c>
      <c r="W28" s="360" t="n">
        <f aca="false">SUM(L28:V28)</f>
        <v>20925</v>
      </c>
    </row>
    <row r="29" customFormat="false" ht="12.75" hidden="false" customHeight="true" outlineLevel="0" collapsed="false">
      <c r="E29" s="438"/>
      <c r="F29" s="443"/>
      <c r="H29" s="378"/>
      <c r="I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</row>
    <row r="30" customFormat="false" ht="12.75" hidden="false" customHeight="true" outlineLevel="0" collapsed="false">
      <c r="A30" s="294" t="s">
        <v>405</v>
      </c>
      <c r="B30" s="294" t="s">
        <v>415</v>
      </c>
      <c r="C30" s="294" t="s">
        <v>5</v>
      </c>
      <c r="D30" s="294" t="s">
        <v>332</v>
      </c>
      <c r="E30" s="438" t="n">
        <v>24926</v>
      </c>
      <c r="F30" s="443" t="s">
        <v>417</v>
      </c>
      <c r="H30" s="378" t="n">
        <v>36922</v>
      </c>
      <c r="I30" s="360" t="n">
        <v>30000</v>
      </c>
      <c r="J30" s="294" t="n">
        <f aca="false">0.0567+0.0033</f>
        <v>0.06</v>
      </c>
      <c r="L30" s="360" t="n">
        <f aca="false">$I30*$J30*L$2</f>
        <v>50400</v>
      </c>
      <c r="M30" s="360" t="n">
        <f aca="false">$I30*$J30*M$2</f>
        <v>55800</v>
      </c>
      <c r="N30" s="360" t="n">
        <f aca="false">$I30*$J30*N$2</f>
        <v>54000</v>
      </c>
      <c r="O30" s="360" t="n">
        <f aca="false">$I30*$J30*O$2</f>
        <v>55800</v>
      </c>
      <c r="P30" s="360" t="n">
        <f aca="false">$I30*$J30*P$2</f>
        <v>54000</v>
      </c>
      <c r="Q30" s="360" t="n">
        <f aca="false">$I30*$J30*Q$2</f>
        <v>55800</v>
      </c>
      <c r="R30" s="360" t="n">
        <f aca="false">$I30*$J30*R$2</f>
        <v>55800</v>
      </c>
      <c r="S30" s="360" t="n">
        <f aca="false">$I30*$J30*S$2</f>
        <v>54000</v>
      </c>
      <c r="T30" s="360" t="n">
        <f aca="false">$I30*$J30*T$2</f>
        <v>55800</v>
      </c>
      <c r="U30" s="360" t="n">
        <f aca="false">$I30*$J30*U$2</f>
        <v>54000</v>
      </c>
      <c r="V30" s="360" t="n">
        <f aca="false">$I30*$J30*V$2</f>
        <v>55800</v>
      </c>
      <c r="W30" s="360" t="n">
        <f aca="false">SUM(K30:V30)</f>
        <v>601200</v>
      </c>
    </row>
    <row r="31" customFormat="false" ht="12.75" hidden="false" customHeight="true" outlineLevel="0" collapsed="false">
      <c r="A31" s="294" t="s">
        <v>405</v>
      </c>
      <c r="B31" s="294" t="s">
        <v>406</v>
      </c>
      <c r="C31" s="294" t="s">
        <v>5</v>
      </c>
      <c r="D31" s="294" t="s">
        <v>332</v>
      </c>
      <c r="E31" s="539" t="n">
        <v>25597</v>
      </c>
      <c r="F31" s="466" t="s">
        <v>432</v>
      </c>
      <c r="G31" s="467" t="n">
        <v>35704</v>
      </c>
      <c r="H31" s="467" t="n">
        <v>36891</v>
      </c>
      <c r="I31" s="472" t="n">
        <v>30000</v>
      </c>
      <c r="J31" s="294" t="n">
        <v>0.03</v>
      </c>
      <c r="K31" s="360" t="n">
        <f aca="false">$I31*$J31*K$2</f>
        <v>27900</v>
      </c>
      <c r="L31" s="360" t="n">
        <f aca="false">$I31*$J31*L$2</f>
        <v>25200</v>
      </c>
      <c r="M31" s="360" t="n">
        <f aca="false">$I31*$J31*M$2</f>
        <v>27900</v>
      </c>
      <c r="N31" s="360" t="n">
        <f aca="false">$I31*$J31*N$2</f>
        <v>27000</v>
      </c>
      <c r="O31" s="360" t="n">
        <f aca="false">$I31*$J31*O$2</f>
        <v>27900</v>
      </c>
      <c r="P31" s="360" t="n">
        <f aca="false">$I31*$J31*P$2</f>
        <v>27000</v>
      </c>
      <c r="Q31" s="360" t="n">
        <f aca="false">$I31*$J31*Q$2</f>
        <v>27900</v>
      </c>
      <c r="R31" s="360" t="n">
        <f aca="false">$I31*$J31*R$2</f>
        <v>27900</v>
      </c>
      <c r="S31" s="360" t="n">
        <f aca="false">$I31*$J31*S$2</f>
        <v>27000</v>
      </c>
      <c r="T31" s="360" t="n">
        <f aca="false">$I31*$J31*T$2</f>
        <v>27900</v>
      </c>
      <c r="U31" s="360" t="n">
        <f aca="false">$I31*$J31*U$2</f>
        <v>27000</v>
      </c>
      <c r="V31" s="360" t="n">
        <f aca="false">$I31*$J31*V$2</f>
        <v>27900</v>
      </c>
      <c r="W31" s="360" t="n">
        <f aca="false">SUM(K31:V31)</f>
        <v>328500</v>
      </c>
    </row>
    <row r="32" customFormat="false" ht="12.75" hidden="false" customHeight="true" outlineLevel="0" collapsed="false">
      <c r="A32" s="294" t="s">
        <v>405</v>
      </c>
      <c r="B32" s="294" t="s">
        <v>406</v>
      </c>
      <c r="C32" s="294" t="s">
        <v>5</v>
      </c>
      <c r="D32" s="294" t="s">
        <v>332</v>
      </c>
      <c r="E32" s="539" t="n">
        <v>26661</v>
      </c>
      <c r="F32" s="466" t="s">
        <v>479</v>
      </c>
      <c r="G32" s="467" t="n">
        <v>36526</v>
      </c>
      <c r="H32" s="467" t="n">
        <v>36891</v>
      </c>
      <c r="I32" s="472" t="n">
        <v>18000</v>
      </c>
      <c r="J32" s="294" t="n">
        <v>0.03</v>
      </c>
      <c r="K32" s="360" t="n">
        <f aca="false">$I32*$J32*K$2</f>
        <v>16740</v>
      </c>
      <c r="L32" s="360" t="n">
        <f aca="false">$I32*$J32*L$2</f>
        <v>15120</v>
      </c>
      <c r="M32" s="360" t="n">
        <f aca="false">$I32*$J32*M$2</f>
        <v>16740</v>
      </c>
      <c r="N32" s="360" t="n">
        <f aca="false">$I32*$J32*N$2</f>
        <v>16200</v>
      </c>
      <c r="O32" s="360" t="n">
        <f aca="false">$I32*$J32*O$2</f>
        <v>16740</v>
      </c>
      <c r="P32" s="360" t="n">
        <f aca="false">$I32*$J32*P$2</f>
        <v>16200</v>
      </c>
      <c r="Q32" s="360" t="n">
        <f aca="false">$I32*$J32*Q$2</f>
        <v>16740</v>
      </c>
      <c r="R32" s="360" t="n">
        <f aca="false">$I32*$J32*R$2</f>
        <v>16740</v>
      </c>
      <c r="S32" s="360" t="n">
        <f aca="false">$I32*$J32*S$2</f>
        <v>16200</v>
      </c>
      <c r="T32" s="360" t="n">
        <f aca="false">$I32*$J32*T$2</f>
        <v>16740</v>
      </c>
      <c r="U32" s="360" t="n">
        <f aca="false">$I32*$J32*U$2</f>
        <v>16200</v>
      </c>
      <c r="V32" s="360" t="n">
        <f aca="false">$I32*$J32*V$2</f>
        <v>16740</v>
      </c>
      <c r="W32" s="360" t="n">
        <f aca="false">SUM(K32:V32)</f>
        <v>197100</v>
      </c>
    </row>
    <row r="33" customFormat="false" ht="12.75" hidden="false" customHeight="true" outlineLevel="0" collapsed="false">
      <c r="A33" s="294" t="s">
        <v>405</v>
      </c>
      <c r="B33" s="294" t="s">
        <v>415</v>
      </c>
      <c r="C33" s="294" t="s">
        <v>5</v>
      </c>
      <c r="D33" s="294" t="s">
        <v>332</v>
      </c>
      <c r="E33" s="539" t="s">
        <v>480</v>
      </c>
      <c r="F33" s="466" t="s">
        <v>372</v>
      </c>
      <c r="G33" s="467" t="n">
        <v>36526</v>
      </c>
      <c r="H33" s="467" t="n">
        <v>36891</v>
      </c>
      <c r="I33" s="472" t="n">
        <v>13500</v>
      </c>
      <c r="J33" s="294" t="n">
        <v>0.045</v>
      </c>
      <c r="K33" s="360" t="n">
        <f aca="false">$I33*$J33*K$2</f>
        <v>18832.5</v>
      </c>
      <c r="L33" s="360" t="n">
        <f aca="false">$I33*$J33*L$2</f>
        <v>17010</v>
      </c>
      <c r="M33" s="360" t="n">
        <f aca="false">$I33*$J33*M$2</f>
        <v>18832.5</v>
      </c>
      <c r="N33" s="360" t="n">
        <f aca="false">$I33*$J33*N$2</f>
        <v>18225</v>
      </c>
      <c r="O33" s="360" t="n">
        <f aca="false">$I33*$J33*O$2</f>
        <v>18832.5</v>
      </c>
      <c r="P33" s="360" t="n">
        <f aca="false">$I33*$J33*P$2</f>
        <v>18225</v>
      </c>
      <c r="Q33" s="360" t="n">
        <f aca="false">$I33*$J33*Q$2</f>
        <v>18832.5</v>
      </c>
      <c r="R33" s="360" t="n">
        <f aca="false">$I33*$J33*R$2</f>
        <v>18832.5</v>
      </c>
      <c r="S33" s="360" t="n">
        <f aca="false">$I33*$J33*S$2</f>
        <v>18225</v>
      </c>
      <c r="T33" s="360" t="n">
        <f aca="false">$I33*$J33*T$2</f>
        <v>18832.5</v>
      </c>
      <c r="U33" s="360" t="n">
        <f aca="false">$I33*$J33*U$2</f>
        <v>18225</v>
      </c>
      <c r="V33" s="360" t="n">
        <f aca="false">$I33*$J33*V$2</f>
        <v>18832.5</v>
      </c>
      <c r="W33" s="360" t="n">
        <f aca="false">SUM(K33:V33)</f>
        <v>221737.5</v>
      </c>
    </row>
    <row r="34" customFormat="false" ht="12.75" hidden="false" customHeight="true" outlineLevel="0" collapsed="false">
      <c r="A34" s="294" t="s">
        <v>405</v>
      </c>
      <c r="B34" s="294" t="s">
        <v>415</v>
      </c>
      <c r="C34" s="294" t="s">
        <v>5</v>
      </c>
      <c r="D34" s="294" t="s">
        <v>332</v>
      </c>
      <c r="E34" s="539" t="n">
        <v>27047</v>
      </c>
      <c r="F34" s="466" t="s">
        <v>422</v>
      </c>
      <c r="G34" s="467" t="n">
        <v>36557</v>
      </c>
      <c r="H34" s="467" t="n">
        <v>36891</v>
      </c>
      <c r="I34" s="472" t="n">
        <v>70000</v>
      </c>
      <c r="J34" s="294" t="n">
        <v>0.02</v>
      </c>
      <c r="K34" s="360" t="n">
        <f aca="false">$I34*$J34*K$2</f>
        <v>43400</v>
      </c>
      <c r="L34" s="360" t="n">
        <f aca="false">$I34*$J34*L$2</f>
        <v>39200</v>
      </c>
      <c r="M34" s="360" t="n">
        <f aca="false">$I34*$J34*M$2</f>
        <v>43400</v>
      </c>
      <c r="N34" s="360" t="n">
        <f aca="false">$I34*$J34*N$2</f>
        <v>42000</v>
      </c>
      <c r="O34" s="360" t="n">
        <f aca="false">$I34*$J34*O$2</f>
        <v>43400</v>
      </c>
      <c r="P34" s="360" t="n">
        <f aca="false">$I34*$J34*P$2</f>
        <v>42000</v>
      </c>
      <c r="Q34" s="360" t="n">
        <f aca="false">$I34*$J34*Q$2</f>
        <v>43400</v>
      </c>
      <c r="R34" s="360" t="n">
        <f aca="false">$I34*$J34*R$2</f>
        <v>43400</v>
      </c>
      <c r="S34" s="360" t="n">
        <f aca="false">$I34*$J34*S$2</f>
        <v>42000</v>
      </c>
      <c r="T34" s="360" t="n">
        <f aca="false">$I34*$J34*T$2</f>
        <v>43400</v>
      </c>
      <c r="U34" s="360" t="n">
        <f aca="false">$I34*$J34*U$2</f>
        <v>42000</v>
      </c>
      <c r="V34" s="360" t="n">
        <f aca="false">$I34*$J34*V$2</f>
        <v>43400</v>
      </c>
      <c r="W34" s="360" t="n">
        <f aca="false">SUM(K34:V34)</f>
        <v>511000</v>
      </c>
    </row>
    <row r="35" customFormat="false" ht="12.75" hidden="false" customHeight="true" outlineLevel="0" collapsed="false">
      <c r="A35" s="294" t="s">
        <v>405</v>
      </c>
      <c r="B35" s="294" t="s">
        <v>415</v>
      </c>
      <c r="C35" s="294" t="s">
        <v>5</v>
      </c>
      <c r="D35" s="294" t="s">
        <v>332</v>
      </c>
      <c r="E35" s="539" t="n">
        <v>27021</v>
      </c>
      <c r="F35" s="466" t="s">
        <v>481</v>
      </c>
      <c r="G35" s="467"/>
      <c r="H35" s="467"/>
      <c r="I35" s="472" t="n">
        <v>15000</v>
      </c>
      <c r="J35" s="294" t="n">
        <v>0.02</v>
      </c>
      <c r="K35" s="360" t="n">
        <f aca="false">$I35*$J35*K$2</f>
        <v>9300</v>
      </c>
      <c r="L35" s="360" t="n">
        <f aca="false">$I35*$J35*L$2</f>
        <v>8400</v>
      </c>
      <c r="M35" s="360" t="n">
        <f aca="false">$I35*$J35*M$2</f>
        <v>9300</v>
      </c>
      <c r="N35" s="360" t="n">
        <f aca="false">$I35*$J35*N$2</f>
        <v>9000</v>
      </c>
      <c r="O35" s="360" t="n">
        <f aca="false">$I35*$J35*O$2</f>
        <v>9300</v>
      </c>
      <c r="P35" s="360" t="n">
        <f aca="false">$I35*$J35*P$2</f>
        <v>9000</v>
      </c>
      <c r="Q35" s="360" t="n">
        <f aca="false">$I35*$J35*Q$2</f>
        <v>9300</v>
      </c>
      <c r="R35" s="360" t="n">
        <f aca="false">$I35*$J35*R$2</f>
        <v>9300</v>
      </c>
      <c r="S35" s="360" t="n">
        <f aca="false">$I35*$J35*S$2</f>
        <v>9000</v>
      </c>
      <c r="T35" s="360" t="n">
        <f aca="false">$I35*$J35*T$2</f>
        <v>9300</v>
      </c>
      <c r="U35" s="360" t="n">
        <f aca="false">$I35*$J35*U$2</f>
        <v>9000</v>
      </c>
      <c r="V35" s="360" t="n">
        <f aca="false">$I35*$J35*V$2</f>
        <v>9300</v>
      </c>
      <c r="W35" s="360" t="n">
        <f aca="false">SUM(K35:V35)</f>
        <v>109500</v>
      </c>
    </row>
    <row r="36" customFormat="false" ht="12.75" hidden="false" customHeight="true" outlineLevel="0" collapsed="false">
      <c r="A36" s="294" t="s">
        <v>405</v>
      </c>
      <c r="B36" s="294" t="s">
        <v>415</v>
      </c>
      <c r="C36" s="294" t="s">
        <v>5</v>
      </c>
      <c r="D36" s="294" t="s">
        <v>332</v>
      </c>
      <c r="E36" s="539" t="n">
        <v>27017</v>
      </c>
      <c r="F36" s="466" t="s">
        <v>481</v>
      </c>
      <c r="G36" s="467" t="n">
        <v>36526</v>
      </c>
      <c r="H36" s="467" t="n">
        <v>36891</v>
      </c>
      <c r="I36" s="472" t="n">
        <v>30000</v>
      </c>
      <c r="J36" s="294" t="n">
        <v>0.03</v>
      </c>
      <c r="K36" s="368" t="n">
        <f aca="false">$I36*$J36*K$2</f>
        <v>27900</v>
      </c>
      <c r="L36" s="368" t="n">
        <f aca="false">$I36*$J36*L$2</f>
        <v>25200</v>
      </c>
      <c r="M36" s="368" t="n">
        <f aca="false">$I36*$J36*M$2</f>
        <v>27900</v>
      </c>
      <c r="N36" s="368" t="n">
        <f aca="false">$I36*$J36*N$2</f>
        <v>27000</v>
      </c>
      <c r="O36" s="368" t="n">
        <f aca="false">$I36*$J36*O$2</f>
        <v>27900</v>
      </c>
      <c r="P36" s="368" t="n">
        <f aca="false">$I36*$J36*P$2</f>
        <v>27000</v>
      </c>
      <c r="Q36" s="368" t="n">
        <f aca="false">$I36*$J36*Q$2</f>
        <v>27900</v>
      </c>
      <c r="R36" s="368" t="n">
        <f aca="false">$I36*$J36*R$2</f>
        <v>27900</v>
      </c>
      <c r="S36" s="368" t="n">
        <f aca="false">$I36*$J36*S$2</f>
        <v>27000</v>
      </c>
      <c r="T36" s="368" t="n">
        <f aca="false">$I36*$J36*T$2</f>
        <v>27900</v>
      </c>
      <c r="U36" s="368" t="n">
        <f aca="false">$I36*$J36*U$2</f>
        <v>27000</v>
      </c>
      <c r="V36" s="368" t="n">
        <f aca="false">$I36*$J36*V$2</f>
        <v>27900</v>
      </c>
      <c r="W36" s="368" t="n">
        <f aca="false">SUM(K36:V36)</f>
        <v>328500</v>
      </c>
    </row>
    <row r="37" customFormat="false" ht="12.75" hidden="false" customHeight="true" outlineLevel="0" collapsed="false">
      <c r="K37" s="360" t="n">
        <f aca="false">SUM(K30:K36)</f>
        <v>144072.5</v>
      </c>
      <c r="L37" s="417" t="n">
        <f aca="false">SUM(L28:L36)</f>
        <v>180530</v>
      </c>
      <c r="M37" s="417" t="n">
        <f aca="false">SUM(M28:M36)</f>
        <v>199872.5</v>
      </c>
      <c r="N37" s="417" t="n">
        <f aca="false">SUM(N28:N36)</f>
        <v>193425</v>
      </c>
      <c r="O37" s="417" t="n">
        <f aca="false">SUM(O28:O36)</f>
        <v>199872.5</v>
      </c>
      <c r="P37" s="417" t="n">
        <f aca="false">SUM(P28:P36)</f>
        <v>193425</v>
      </c>
      <c r="Q37" s="417" t="n">
        <f aca="false">SUM(Q28:Q36)</f>
        <v>199872.5</v>
      </c>
      <c r="R37" s="417" t="n">
        <f aca="false">SUM(R28:R36)</f>
        <v>199872.5</v>
      </c>
      <c r="S37" s="417" t="n">
        <f aca="false">SUM(S28:S36)</f>
        <v>193425</v>
      </c>
      <c r="T37" s="417" t="n">
        <f aca="false">SUM(T28:T36)</f>
        <v>199872.5</v>
      </c>
      <c r="U37" s="417" t="n">
        <f aca="false">SUM(U28:U36)</f>
        <v>193425</v>
      </c>
      <c r="V37" s="417" t="n">
        <f aca="false">SUM(V28:V36)</f>
        <v>220797.5</v>
      </c>
      <c r="W37" s="417" t="n">
        <f aca="false">SUM(W28:W36)</f>
        <v>2318462.5</v>
      </c>
    </row>
    <row r="38" customFormat="false" ht="12.75" hidden="false" customHeight="true" outlineLevel="0" collapsed="false">
      <c r="W38" s="360"/>
      <c r="X38" s="417" t="n">
        <f aca="false">W37+W26+W17</f>
        <v>5132092.5</v>
      </c>
    </row>
    <row r="40" customFormat="false" ht="12.75" hidden="false" customHeight="true" outlineLevel="0" collapsed="false">
      <c r="E40" s="374"/>
      <c r="H40" s="378"/>
      <c r="I40" s="360"/>
    </row>
    <row r="41" customFormat="false" ht="12.75" hidden="false" customHeight="true" outlineLevel="0" collapsed="false">
      <c r="E41" s="374"/>
      <c r="G41" s="375"/>
      <c r="H41" s="378"/>
      <c r="I41" s="360"/>
    </row>
    <row r="42" customFormat="false" ht="12.75" hidden="false" customHeight="true" outlineLevel="0" collapsed="false">
      <c r="A42" s="294" t="s">
        <v>482</v>
      </c>
      <c r="E42" s="359"/>
      <c r="G42" s="375"/>
      <c r="H42" s="378"/>
      <c r="I42" s="360"/>
    </row>
    <row r="43" customFormat="false" ht="12.75" hidden="false" customHeight="true" outlineLevel="0" collapsed="false">
      <c r="E43" s="359"/>
      <c r="H43" s="378"/>
      <c r="I43" s="360"/>
    </row>
    <row r="44" customFormat="false" ht="12.75" hidden="false" customHeight="true" outlineLevel="0" collapsed="false">
      <c r="E44" s="359"/>
      <c r="H44" s="378"/>
      <c r="I44" s="360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</row>
    <row r="45" customFormat="false" ht="12.75" hidden="false" customHeight="true" outlineLevel="0" collapsed="false">
      <c r="A45" s="294" t="s">
        <v>334</v>
      </c>
      <c r="B45" s="294" t="s">
        <v>335</v>
      </c>
      <c r="C45" s="294" t="s">
        <v>478</v>
      </c>
      <c r="D45" s="294" t="s">
        <v>336</v>
      </c>
      <c r="E45" s="359" t="s">
        <v>337</v>
      </c>
      <c r="F45" s="294" t="s">
        <v>338</v>
      </c>
      <c r="G45" s="294" t="s">
        <v>339</v>
      </c>
      <c r="H45" s="359" t="s">
        <v>340</v>
      </c>
      <c r="I45" s="360" t="s">
        <v>341</v>
      </c>
      <c r="J45" s="294" t="s">
        <v>118</v>
      </c>
      <c r="K45" s="542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</row>
    <row r="46" customFormat="false" ht="12.75" hidden="false" customHeight="true" outlineLevel="0" collapsed="false">
      <c r="E46" s="359"/>
      <c r="H46" s="359"/>
      <c r="I46" s="360"/>
      <c r="K46" s="541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</row>
    <row r="47" customFormat="false" ht="12.75" hidden="false" customHeight="true" outlineLevel="0" collapsed="false">
      <c r="A47" s="294" t="s">
        <v>343</v>
      </c>
      <c r="B47" s="294" t="s">
        <v>344</v>
      </c>
      <c r="C47" s="294" t="s">
        <v>5</v>
      </c>
      <c r="D47" s="294" t="s">
        <v>332</v>
      </c>
      <c r="E47" s="374" t="n">
        <v>26751</v>
      </c>
      <c r="F47" s="294" t="s">
        <v>345</v>
      </c>
      <c r="H47" s="378" t="n">
        <v>36922</v>
      </c>
      <c r="I47" s="360" t="n">
        <v>20000</v>
      </c>
      <c r="J47" s="294" t="n">
        <v>0.91</v>
      </c>
      <c r="K47" s="541"/>
      <c r="L47" s="545" t="n">
        <f aca="false">$I47*$J47*L$2</f>
        <v>509600</v>
      </c>
      <c r="M47" s="545" t="n">
        <f aca="false">$I47*$J47*M$2</f>
        <v>564200</v>
      </c>
      <c r="N47" s="545" t="n">
        <f aca="false">$I47*$J47*N$2</f>
        <v>546000</v>
      </c>
      <c r="O47" s="545" t="n">
        <f aca="false">$I47*$J47*O$2</f>
        <v>564200</v>
      </c>
      <c r="P47" s="545" t="n">
        <f aca="false">$I47*$J47*P$2</f>
        <v>546000</v>
      </c>
      <c r="Q47" s="545" t="n">
        <f aca="false">$I47*$J47*Q$2</f>
        <v>564200</v>
      </c>
      <c r="R47" s="545" t="n">
        <f aca="false">$I47*$J47*R$2</f>
        <v>564200</v>
      </c>
      <c r="S47" s="545" t="n">
        <f aca="false">$I47*$J47*S$2</f>
        <v>546000</v>
      </c>
      <c r="T47" s="545" t="n">
        <f aca="false">$I47*$J47*T$2</f>
        <v>564200</v>
      </c>
      <c r="U47" s="545" t="n">
        <f aca="false">$I47*$J47*U$2</f>
        <v>546000</v>
      </c>
      <c r="V47" s="545" t="n">
        <f aca="false">$I47*$J47*V$2</f>
        <v>564200</v>
      </c>
      <c r="W47" s="545"/>
      <c r="X47" s="545"/>
    </row>
    <row r="48" customFormat="false" ht="12.75" hidden="false" customHeight="true" outlineLevel="0" collapsed="false">
      <c r="A48" s="294" t="s">
        <v>343</v>
      </c>
      <c r="B48" s="294" t="s">
        <v>344</v>
      </c>
      <c r="C48" s="294" t="s">
        <v>5</v>
      </c>
      <c r="D48" s="294" t="s">
        <v>332</v>
      </c>
      <c r="E48" s="374" t="n">
        <v>26490</v>
      </c>
      <c r="F48" s="294" t="s">
        <v>350</v>
      </c>
      <c r="G48" s="375" t="n">
        <v>36100</v>
      </c>
      <c r="H48" s="378" t="n">
        <v>37195</v>
      </c>
      <c r="I48" s="360" t="n">
        <v>70000</v>
      </c>
      <c r="J48" s="294" t="n">
        <v>0.91</v>
      </c>
      <c r="K48" s="541"/>
      <c r="L48" s="545"/>
      <c r="M48" s="545"/>
      <c r="N48" s="545"/>
      <c r="O48" s="545"/>
      <c r="P48" s="545"/>
      <c r="Q48" s="545"/>
      <c r="R48" s="545"/>
      <c r="S48" s="545"/>
      <c r="T48" s="545"/>
      <c r="U48" s="545" t="n">
        <f aca="false">$I48*$J48*U$2</f>
        <v>1911000</v>
      </c>
      <c r="V48" s="545" t="n">
        <f aca="false">$I48*$J48*V$2</f>
        <v>1974700</v>
      </c>
      <c r="W48" s="545"/>
      <c r="X48" s="545"/>
    </row>
    <row r="49" customFormat="false" ht="12.75" hidden="false" customHeight="true" outlineLevel="0" collapsed="false">
      <c r="A49" s="294" t="s">
        <v>343</v>
      </c>
      <c r="B49" s="294" t="s">
        <v>344</v>
      </c>
      <c r="C49" s="294" t="s">
        <v>5</v>
      </c>
      <c r="D49" s="294" t="s">
        <v>332</v>
      </c>
      <c r="E49" s="359" t="n">
        <v>26683</v>
      </c>
      <c r="F49" s="294" t="s">
        <v>356</v>
      </c>
      <c r="G49" s="375" t="n">
        <v>36220</v>
      </c>
      <c r="H49" s="378" t="n">
        <v>36981</v>
      </c>
      <c r="I49" s="360" t="n">
        <v>8000</v>
      </c>
      <c r="J49" s="294" t="n">
        <v>0.91</v>
      </c>
      <c r="K49" s="546"/>
      <c r="L49" s="546"/>
      <c r="M49" s="546"/>
      <c r="N49" s="546"/>
      <c r="O49" s="546" t="n">
        <f aca="false">$I49*$J49*O$2</f>
        <v>225680</v>
      </c>
      <c r="P49" s="546" t="n">
        <f aca="false">$I49*$J49*P$2</f>
        <v>218400</v>
      </c>
      <c r="Q49" s="546" t="n">
        <f aca="false">$I49*$J49*Q$2</f>
        <v>225680</v>
      </c>
      <c r="R49" s="546" t="n">
        <f aca="false">$I49*$J49*R$2</f>
        <v>225680</v>
      </c>
      <c r="S49" s="546" t="n">
        <f aca="false">$I49*$J49*S$2</f>
        <v>218400</v>
      </c>
      <c r="T49" s="546" t="n">
        <f aca="false">$I49*$J49*T$2</f>
        <v>225680</v>
      </c>
      <c r="U49" s="546" t="n">
        <f aca="false">$I49*$J49*U$2</f>
        <v>218400</v>
      </c>
      <c r="V49" s="546" t="n">
        <f aca="false">$I49*$J49*V$2</f>
        <v>225680</v>
      </c>
      <c r="W49" s="545"/>
      <c r="X49" s="545"/>
    </row>
    <row r="50" customFormat="false" ht="12.75" hidden="false" customHeight="true" outlineLevel="0" collapsed="false">
      <c r="E50" s="359"/>
      <c r="G50" s="375"/>
      <c r="H50" s="378"/>
      <c r="I50" s="360"/>
      <c r="K50" s="545" t="n">
        <f aca="false">SUM(K47:K49)</f>
        <v>0</v>
      </c>
      <c r="L50" s="545" t="n">
        <f aca="false">SUM(L47:L49)</f>
        <v>509600</v>
      </c>
      <c r="M50" s="545" t="n">
        <f aca="false">SUM(M47:M49)</f>
        <v>564200</v>
      </c>
      <c r="N50" s="545" t="n">
        <f aca="false">SUM(N47:N49)</f>
        <v>546000</v>
      </c>
      <c r="O50" s="545" t="n">
        <f aca="false">SUM(O47:O49)</f>
        <v>789880</v>
      </c>
      <c r="P50" s="545" t="n">
        <f aca="false">SUM(P47:P49)</f>
        <v>764400</v>
      </c>
      <c r="Q50" s="545" t="n">
        <f aca="false">SUM(Q47:Q49)</f>
        <v>789880</v>
      </c>
      <c r="R50" s="545" t="n">
        <f aca="false">SUM(R47:R49)</f>
        <v>789880</v>
      </c>
      <c r="S50" s="545" t="n">
        <f aca="false">SUM(S47:S49)</f>
        <v>764400</v>
      </c>
      <c r="T50" s="545" t="n">
        <f aca="false">SUM(T47:T49)</f>
        <v>789880</v>
      </c>
      <c r="U50" s="545" t="n">
        <f aca="false">SUM(U47:U49)</f>
        <v>2675400</v>
      </c>
      <c r="V50" s="545" t="n">
        <f aca="false">SUM(V47:V49)</f>
        <v>2764580</v>
      </c>
      <c r="W50" s="545"/>
      <c r="X50" s="545"/>
    </row>
    <row r="51" customFormat="false" ht="12.75" hidden="false" customHeight="true" outlineLevel="0" collapsed="false">
      <c r="E51" s="359"/>
      <c r="G51" s="375"/>
      <c r="H51" s="378"/>
      <c r="I51" s="360"/>
      <c r="K51" s="541"/>
      <c r="L51" s="545"/>
      <c r="M51" s="545"/>
      <c r="N51" s="545"/>
      <c r="O51" s="545"/>
      <c r="P51" s="545"/>
      <c r="Q51" s="545"/>
      <c r="R51" s="545"/>
      <c r="S51" s="545"/>
      <c r="T51" s="545"/>
      <c r="U51" s="545"/>
      <c r="V51" s="545"/>
      <c r="W51" s="545"/>
      <c r="X51" s="545"/>
    </row>
    <row r="52" customFormat="false" ht="12.75" hidden="false" customHeight="true" outlineLevel="0" collapsed="false">
      <c r="A52" s="294" t="s">
        <v>343</v>
      </c>
      <c r="B52" s="294" t="s">
        <v>371</v>
      </c>
      <c r="C52" s="294" t="s">
        <v>5</v>
      </c>
      <c r="D52" s="294" t="s">
        <v>332</v>
      </c>
      <c r="E52" s="359" t="n">
        <v>20747</v>
      </c>
      <c r="F52" s="294" t="s">
        <v>374</v>
      </c>
      <c r="H52" s="378" t="n">
        <v>37009</v>
      </c>
      <c r="I52" s="360" t="n">
        <v>10000</v>
      </c>
      <c r="J52" s="294" t="n">
        <v>0.85</v>
      </c>
      <c r="K52" s="541"/>
      <c r="L52" s="545"/>
      <c r="M52" s="545"/>
      <c r="N52" s="545"/>
      <c r="O52" s="545"/>
      <c r="P52" s="545"/>
      <c r="Q52" s="545"/>
      <c r="R52" s="545"/>
      <c r="S52" s="545"/>
      <c r="T52" s="545"/>
      <c r="U52" s="545"/>
      <c r="V52" s="545"/>
      <c r="W52" s="545"/>
      <c r="X52" s="545"/>
    </row>
    <row r="53" customFormat="false" ht="12.75" hidden="false" customHeight="true" outlineLevel="0" collapsed="false">
      <c r="A53" s="294" t="s">
        <v>343</v>
      </c>
      <c r="B53" s="294" t="s">
        <v>371</v>
      </c>
      <c r="C53" s="294" t="s">
        <v>5</v>
      </c>
      <c r="D53" s="294" t="s">
        <v>332</v>
      </c>
      <c r="E53" s="359" t="n">
        <v>20748</v>
      </c>
      <c r="F53" s="294" t="s">
        <v>374</v>
      </c>
      <c r="H53" s="378" t="n">
        <v>37009</v>
      </c>
      <c r="I53" s="360" t="n">
        <v>10000</v>
      </c>
      <c r="J53" s="294" t="n">
        <v>0.85</v>
      </c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5"/>
      <c r="X53" s="545"/>
    </row>
    <row r="54" customFormat="false" ht="12.75" hidden="false" customHeight="true" outlineLevel="0" collapsed="false">
      <c r="E54" s="359"/>
      <c r="H54" s="378"/>
      <c r="I54" s="360"/>
      <c r="K54" s="545" t="n">
        <f aca="false">SUM(K51:K53)</f>
        <v>0</v>
      </c>
      <c r="L54" s="545" t="n">
        <f aca="false">SUM(L51:L53)</f>
        <v>0</v>
      </c>
      <c r="M54" s="545" t="n">
        <f aca="false">SUM(M51:M53)</f>
        <v>0</v>
      </c>
      <c r="N54" s="545" t="n">
        <f aca="false">SUM(N51:N53)</f>
        <v>0</v>
      </c>
      <c r="O54" s="545" t="n">
        <f aca="false">SUM(O51:O53)</f>
        <v>0</v>
      </c>
      <c r="P54" s="545" t="n">
        <f aca="false">SUM(P51:P53)</f>
        <v>0</v>
      </c>
      <c r="Q54" s="545" t="n">
        <f aca="false">SUM(Q51:Q53)</f>
        <v>0</v>
      </c>
      <c r="R54" s="545" t="n">
        <f aca="false">SUM(R51:R53)</f>
        <v>0</v>
      </c>
      <c r="S54" s="545" t="n">
        <f aca="false">SUM(S51:S53)</f>
        <v>0</v>
      </c>
      <c r="T54" s="545" t="n">
        <f aca="false">SUM(T51:T53)</f>
        <v>0</v>
      </c>
      <c r="U54" s="545" t="n">
        <f aca="false">SUM(U51:U53)</f>
        <v>0</v>
      </c>
      <c r="V54" s="545" t="n">
        <f aca="false">SUM(V51:V53)</f>
        <v>0</v>
      </c>
      <c r="W54" s="545"/>
      <c r="X54" s="545"/>
    </row>
    <row r="55" customFormat="false" ht="12.75" hidden="false" customHeight="true" outlineLevel="0" collapsed="false">
      <c r="E55" s="359"/>
      <c r="H55" s="378"/>
      <c r="I55" s="360"/>
      <c r="K55" s="541"/>
      <c r="L55" s="545"/>
      <c r="M55" s="545"/>
      <c r="N55" s="545"/>
      <c r="O55" s="545"/>
      <c r="P55" s="545"/>
      <c r="Q55" s="545"/>
      <c r="R55" s="545"/>
      <c r="S55" s="545"/>
      <c r="T55" s="545"/>
      <c r="U55" s="545"/>
      <c r="V55" s="545"/>
      <c r="W55" s="545"/>
      <c r="X55" s="545"/>
    </row>
    <row r="56" customFormat="false" ht="12.75" hidden="false" customHeight="true" outlineLevel="0" collapsed="false">
      <c r="A56" s="294" t="s">
        <v>231</v>
      </c>
      <c r="B56" s="294" t="s">
        <v>425</v>
      </c>
      <c r="C56" s="294" t="s">
        <v>5</v>
      </c>
      <c r="D56" s="294" t="s">
        <v>332</v>
      </c>
      <c r="E56" s="538" t="n">
        <v>24194</v>
      </c>
      <c r="F56" s="462" t="s">
        <v>426</v>
      </c>
      <c r="H56" s="463" t="n">
        <v>37164</v>
      </c>
      <c r="I56" s="464" t="n">
        <v>25000</v>
      </c>
      <c r="J56" s="294" t="n">
        <v>0.78</v>
      </c>
      <c r="K56" s="541"/>
      <c r="L56" s="545"/>
      <c r="M56" s="545"/>
      <c r="N56" s="545"/>
      <c r="O56" s="545"/>
      <c r="P56" s="545"/>
      <c r="Q56" s="545"/>
      <c r="R56" s="545"/>
      <c r="S56" s="545"/>
      <c r="T56" s="545" t="n">
        <f aca="false">$I56*$J56*T$2</f>
        <v>604500</v>
      </c>
      <c r="U56" s="545" t="n">
        <f aca="false">$I56*$J56*U$2</f>
        <v>585000</v>
      </c>
      <c r="V56" s="545" t="n">
        <f aca="false">$I56*$J56*U$2</f>
        <v>585000</v>
      </c>
      <c r="W56" s="545"/>
      <c r="X56" s="545"/>
    </row>
    <row r="57" customFormat="false" ht="12.75" hidden="false" customHeight="true" outlineLevel="0" collapsed="false">
      <c r="A57" s="294" t="s">
        <v>231</v>
      </c>
      <c r="B57" s="294" t="s">
        <v>425</v>
      </c>
      <c r="C57" s="294" t="s">
        <v>5</v>
      </c>
      <c r="D57" s="294" t="s">
        <v>332</v>
      </c>
      <c r="E57" s="538" t="s">
        <v>428</v>
      </c>
      <c r="F57" s="462" t="s">
        <v>429</v>
      </c>
      <c r="H57" s="463" t="n">
        <v>37134</v>
      </c>
      <c r="I57" s="464" t="n">
        <v>35700</v>
      </c>
      <c r="J57" s="294" t="n">
        <v>0.78</v>
      </c>
      <c r="K57" s="541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</row>
    <row r="58" customFormat="false" ht="12.75" hidden="false" customHeight="true" outlineLevel="0" collapsed="false">
      <c r="A58" s="294" t="s">
        <v>231</v>
      </c>
      <c r="B58" s="294" t="s">
        <v>425</v>
      </c>
      <c r="C58" s="294" t="s">
        <v>5</v>
      </c>
      <c r="D58" s="294" t="s">
        <v>332</v>
      </c>
      <c r="E58" s="539" t="n">
        <v>24690</v>
      </c>
      <c r="F58" s="466" t="s">
        <v>430</v>
      </c>
      <c r="H58" s="467" t="n">
        <v>36981</v>
      </c>
      <c r="I58" s="468" t="n">
        <v>15000</v>
      </c>
      <c r="J58" s="294" t="n">
        <v>0.78</v>
      </c>
      <c r="K58" s="541"/>
      <c r="L58" s="545"/>
      <c r="M58" s="545"/>
      <c r="N58" s="545" t="n">
        <f aca="false">$I58*$J58*N$2</f>
        <v>351000</v>
      </c>
      <c r="O58" s="545" t="n">
        <f aca="false">$I58*$J58*O$2</f>
        <v>362700</v>
      </c>
      <c r="P58" s="545" t="n">
        <f aca="false">$I58*$J58*P$2</f>
        <v>351000</v>
      </c>
      <c r="Q58" s="545" t="n">
        <f aca="false">$I58*$J58*Q$2</f>
        <v>362700</v>
      </c>
      <c r="R58" s="545" t="n">
        <f aca="false">$I58*$J58*R$2</f>
        <v>362700</v>
      </c>
      <c r="S58" s="545" t="n">
        <f aca="false">$I58*$J58*S$2</f>
        <v>351000</v>
      </c>
      <c r="T58" s="545" t="n">
        <f aca="false">$I58*$J58*T$2</f>
        <v>362700</v>
      </c>
      <c r="U58" s="545" t="n">
        <f aca="false">$I58*$J58*U$2</f>
        <v>351000</v>
      </c>
      <c r="V58" s="545" t="n">
        <f aca="false">$I58*$J58*V$2</f>
        <v>362700</v>
      </c>
      <c r="W58" s="545"/>
      <c r="X58" s="545"/>
    </row>
    <row r="59" customFormat="false" ht="12.75" hidden="false" customHeight="true" outlineLevel="0" collapsed="false">
      <c r="A59" s="294" t="s">
        <v>231</v>
      </c>
      <c r="B59" s="294" t="s">
        <v>425</v>
      </c>
      <c r="C59" s="294" t="s">
        <v>5</v>
      </c>
      <c r="D59" s="294" t="s">
        <v>332</v>
      </c>
      <c r="E59" s="539" t="n">
        <v>24754</v>
      </c>
      <c r="F59" s="466" t="s">
        <v>431</v>
      </c>
      <c r="H59" s="481" t="n">
        <v>37011</v>
      </c>
      <c r="I59" s="468" t="n">
        <v>1000</v>
      </c>
      <c r="J59" s="294" t="n">
        <v>0.78</v>
      </c>
      <c r="K59" s="541"/>
      <c r="L59" s="547"/>
      <c r="M59" s="547"/>
      <c r="N59" s="547"/>
      <c r="O59" s="545" t="n">
        <f aca="false">$I59*$J59*O$2</f>
        <v>24180</v>
      </c>
      <c r="P59" s="545" t="n">
        <f aca="false">$I59*$J59*P$2</f>
        <v>23400</v>
      </c>
      <c r="Q59" s="545" t="n">
        <f aca="false">$I59*$J59*Q$2</f>
        <v>24180</v>
      </c>
      <c r="R59" s="545" t="n">
        <f aca="false">$I59*$J59*R$2</f>
        <v>24180</v>
      </c>
      <c r="S59" s="545" t="n">
        <f aca="false">$I59*$J59*S$2</f>
        <v>23400</v>
      </c>
      <c r="T59" s="545" t="n">
        <f aca="false">$I59*$J59*T$2</f>
        <v>24180</v>
      </c>
      <c r="U59" s="545" t="n">
        <f aca="false">$I59*$J59*U$2</f>
        <v>23400</v>
      </c>
      <c r="V59" s="545" t="n">
        <f aca="false">$I59*$J59*V$2</f>
        <v>24180</v>
      </c>
      <c r="W59" s="547"/>
      <c r="X59" s="545"/>
    </row>
    <row r="60" customFormat="false" ht="12.75" hidden="false" customHeight="true" outlineLevel="0" collapsed="false">
      <c r="A60" s="294" t="s">
        <v>231</v>
      </c>
      <c r="B60" s="294" t="s">
        <v>425</v>
      </c>
      <c r="C60" s="294" t="s">
        <v>5</v>
      </c>
      <c r="D60" s="294" t="s">
        <v>332</v>
      </c>
      <c r="E60" s="539" t="s">
        <v>433</v>
      </c>
      <c r="F60" s="466" t="s">
        <v>357</v>
      </c>
      <c r="H60" s="467" t="n">
        <v>36950</v>
      </c>
      <c r="I60" s="468" t="n">
        <v>10000</v>
      </c>
      <c r="J60" s="294" t="n">
        <v>0.78</v>
      </c>
      <c r="K60" s="541"/>
      <c r="L60" s="545"/>
      <c r="M60" s="545" t="n">
        <f aca="false">$I60*$J60*M$2</f>
        <v>241800</v>
      </c>
      <c r="N60" s="545" t="n">
        <f aca="false">$I60*$J60*N$2</f>
        <v>234000</v>
      </c>
      <c r="O60" s="545" t="n">
        <f aca="false">$I60*$J60*O$2</f>
        <v>241800</v>
      </c>
      <c r="P60" s="545" t="n">
        <f aca="false">$I60*$J60*P$2</f>
        <v>234000</v>
      </c>
      <c r="Q60" s="545" t="n">
        <f aca="false">$I60*$J60*Q$2</f>
        <v>241800</v>
      </c>
      <c r="R60" s="545" t="n">
        <f aca="false">$I60*$J60*R$2</f>
        <v>241800</v>
      </c>
      <c r="S60" s="545" t="n">
        <f aca="false">$I60*$J60*S$2</f>
        <v>234000</v>
      </c>
      <c r="T60" s="545" t="n">
        <f aca="false">$I60*$J60*T$2</f>
        <v>241800</v>
      </c>
      <c r="U60" s="545" t="n">
        <f aca="false">$I60*$J60*U$2</f>
        <v>234000</v>
      </c>
      <c r="V60" s="545" t="n">
        <f aca="false">$I60*$J60*V$2</f>
        <v>241800</v>
      </c>
      <c r="W60" s="547"/>
      <c r="X60" s="545"/>
    </row>
    <row r="61" customFormat="false" ht="12.75" hidden="false" customHeight="true" outlineLevel="0" collapsed="false">
      <c r="A61" s="294" t="s">
        <v>231</v>
      </c>
      <c r="B61" s="294" t="s">
        <v>425</v>
      </c>
      <c r="C61" s="294" t="s">
        <v>5</v>
      </c>
      <c r="D61" s="294" t="s">
        <v>332</v>
      </c>
      <c r="E61" s="539" t="n">
        <v>27161</v>
      </c>
      <c r="F61" s="466" t="s">
        <v>434</v>
      </c>
      <c r="H61" s="467" t="n">
        <v>37195</v>
      </c>
      <c r="I61" s="472" t="n">
        <v>400000</v>
      </c>
      <c r="J61" s="294" t="n">
        <v>0.25</v>
      </c>
      <c r="K61" s="541"/>
      <c r="L61" s="547"/>
      <c r="M61" s="547"/>
      <c r="N61" s="547"/>
      <c r="O61" s="547"/>
      <c r="P61" s="547"/>
      <c r="Q61" s="547"/>
      <c r="R61" s="547"/>
      <c r="S61" s="547"/>
      <c r="T61" s="547"/>
      <c r="U61" s="545" t="n">
        <f aca="false">$I61*$J61*U$2</f>
        <v>3000000</v>
      </c>
      <c r="V61" s="545" t="n">
        <f aca="false">$I61*$J61*V$2</f>
        <v>3100000</v>
      </c>
      <c r="W61" s="547"/>
      <c r="X61" s="545"/>
    </row>
    <row r="62" customFormat="false" ht="12.75" hidden="false" customHeight="true" outlineLevel="0" collapsed="false">
      <c r="A62" s="294" t="s">
        <v>231</v>
      </c>
      <c r="B62" s="294" t="s">
        <v>425</v>
      </c>
      <c r="C62" s="294" t="s">
        <v>5</v>
      </c>
      <c r="D62" s="294" t="s">
        <v>332</v>
      </c>
      <c r="E62" s="539" t="s">
        <v>435</v>
      </c>
      <c r="F62" s="466" t="s">
        <v>350</v>
      </c>
      <c r="H62" s="467" t="n">
        <v>37195</v>
      </c>
      <c r="I62" s="540" t="n">
        <v>40000</v>
      </c>
      <c r="J62" s="294" t="n">
        <v>0.78</v>
      </c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 t="n">
        <f aca="false">$I62*$J62*U$2</f>
        <v>936000</v>
      </c>
      <c r="V62" s="546" t="n">
        <f aca="false">$I62*$J62*V$2</f>
        <v>967200</v>
      </c>
      <c r="W62" s="547"/>
      <c r="X62" s="545"/>
    </row>
    <row r="63" customFormat="false" ht="12.75" hidden="false" customHeight="true" outlineLevel="0" collapsed="false">
      <c r="E63" s="539"/>
      <c r="F63" s="466"/>
      <c r="H63" s="467"/>
      <c r="I63" s="472" t="n">
        <f aca="false">SUM(I56:I62)</f>
        <v>526700</v>
      </c>
      <c r="K63" s="545" t="n">
        <f aca="false">SUM(K60:K62)</f>
        <v>0</v>
      </c>
      <c r="L63" s="545" t="n">
        <f aca="false">SUM(L60:L62)</f>
        <v>0</v>
      </c>
      <c r="M63" s="545" t="n">
        <f aca="false">SUM(M60:M62)</f>
        <v>241800</v>
      </c>
      <c r="N63" s="545" t="n">
        <f aca="false">SUM(N60:N62)</f>
        <v>234000</v>
      </c>
      <c r="O63" s="545" t="n">
        <f aca="false">SUM(O60:O62)</f>
        <v>241800</v>
      </c>
      <c r="P63" s="545" t="n">
        <f aca="false">SUM(P60:P62)</f>
        <v>234000</v>
      </c>
      <c r="Q63" s="545" t="n">
        <f aca="false">SUM(Q60:Q62)</f>
        <v>241800</v>
      </c>
      <c r="R63" s="545" t="n">
        <f aca="false">SUM(R60:R62)</f>
        <v>241800</v>
      </c>
      <c r="S63" s="545" t="n">
        <f aca="false">SUM(S60:S62)</f>
        <v>234000</v>
      </c>
      <c r="T63" s="545" t="n">
        <f aca="false">SUM(T60:T62)</f>
        <v>241800</v>
      </c>
      <c r="U63" s="545" t="n">
        <f aca="false">SUM(U60:U62)</f>
        <v>4170000</v>
      </c>
      <c r="V63" s="545" t="n">
        <f aca="false">SUM(V60:V62)</f>
        <v>4309000</v>
      </c>
      <c r="W63" s="547"/>
      <c r="X63" s="545"/>
    </row>
    <row r="64" customFormat="false" ht="12.75" hidden="false" customHeight="true" outlineLevel="0" collapsed="false">
      <c r="E64" s="539"/>
      <c r="F64" s="466"/>
      <c r="H64" s="467"/>
      <c r="I64" s="472"/>
      <c r="K64" s="541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5"/>
    </row>
    <row r="65" customFormat="false" ht="12.75" hidden="false" customHeight="true" outlineLevel="0" collapsed="false">
      <c r="A65" s="294" t="s">
        <v>405</v>
      </c>
      <c r="B65" s="294" t="s">
        <v>406</v>
      </c>
      <c r="C65" s="294" t="s">
        <v>5</v>
      </c>
      <c r="D65" s="294" t="s">
        <v>332</v>
      </c>
      <c r="E65" s="374" t="n">
        <v>25067</v>
      </c>
      <c r="F65" s="440" t="s">
        <v>407</v>
      </c>
      <c r="H65" s="378" t="n">
        <v>37225</v>
      </c>
      <c r="I65" s="360" t="n">
        <v>15000</v>
      </c>
      <c r="J65" s="294" t="n">
        <v>0.73</v>
      </c>
      <c r="K65" s="541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5" t="n">
        <f aca="false">$I65*$J65*V$2</f>
        <v>339450</v>
      </c>
      <c r="W65" s="547"/>
      <c r="X65" s="545"/>
    </row>
    <row r="66" customFormat="false" ht="12.75" hidden="false" customHeight="true" outlineLevel="0" collapsed="false">
      <c r="A66" s="294" t="s">
        <v>405</v>
      </c>
      <c r="B66" s="294" t="s">
        <v>415</v>
      </c>
      <c r="C66" s="294" t="s">
        <v>5</v>
      </c>
      <c r="D66" s="294" t="s">
        <v>332</v>
      </c>
      <c r="E66" s="438" t="n">
        <v>24927</v>
      </c>
      <c r="F66" s="443" t="s">
        <v>416</v>
      </c>
      <c r="H66" s="378" t="n">
        <v>36922</v>
      </c>
      <c r="I66" s="360" t="n">
        <v>30000</v>
      </c>
      <c r="J66" s="294" t="n">
        <v>0.73</v>
      </c>
      <c r="K66" s="541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7"/>
      <c r="X66" s="545"/>
    </row>
    <row r="67" customFormat="false" ht="12.75" hidden="false" customHeight="true" outlineLevel="0" collapsed="false">
      <c r="A67" s="294" t="s">
        <v>405</v>
      </c>
      <c r="B67" s="294" t="s">
        <v>415</v>
      </c>
      <c r="C67" s="294" t="s">
        <v>5</v>
      </c>
      <c r="D67" s="294" t="s">
        <v>332</v>
      </c>
      <c r="E67" s="438" t="n">
        <v>24926</v>
      </c>
      <c r="F67" s="443" t="s">
        <v>417</v>
      </c>
      <c r="H67" s="378" t="n">
        <v>36922</v>
      </c>
      <c r="I67" s="360" t="n">
        <v>30000</v>
      </c>
      <c r="J67" s="294" t="n">
        <v>0.73</v>
      </c>
      <c r="K67" s="541"/>
      <c r="L67" s="545" t="n">
        <f aca="false">$I67*$J67*L$2</f>
        <v>613200</v>
      </c>
      <c r="M67" s="545" t="n">
        <f aca="false">$I67*$J67*M$2</f>
        <v>678900</v>
      </c>
      <c r="N67" s="545" t="n">
        <f aca="false">$I67*$J67*N$2</f>
        <v>657000</v>
      </c>
      <c r="O67" s="545" t="n">
        <f aca="false">$I67*$J67*O$2</f>
        <v>678900</v>
      </c>
      <c r="P67" s="545" t="n">
        <f aca="false">$I67*$J67*P$2</f>
        <v>657000</v>
      </c>
      <c r="Q67" s="545" t="n">
        <f aca="false">$I67*$J67*Q$2</f>
        <v>678900</v>
      </c>
      <c r="R67" s="545" t="n">
        <f aca="false">$I67*$J67*R$2</f>
        <v>678900</v>
      </c>
      <c r="S67" s="545" t="n">
        <f aca="false">$I67*$J67*S$2</f>
        <v>657000</v>
      </c>
      <c r="T67" s="545" t="n">
        <f aca="false">$I67*$J67*T$2</f>
        <v>678900</v>
      </c>
      <c r="U67" s="545" t="n">
        <f aca="false">$I67*$J67*U$2</f>
        <v>657000</v>
      </c>
      <c r="V67" s="545" t="n">
        <f aca="false">$I67*$J67*V$2</f>
        <v>678900</v>
      </c>
      <c r="W67" s="545"/>
      <c r="X67" s="545"/>
    </row>
    <row r="68" customFormat="false" ht="12.75" hidden="false" customHeight="true" outlineLevel="0" collapsed="false">
      <c r="A68" s="294" t="s">
        <v>405</v>
      </c>
      <c r="B68" s="294" t="s">
        <v>406</v>
      </c>
      <c r="C68" s="294" t="s">
        <v>5</v>
      </c>
      <c r="D68" s="294" t="s">
        <v>332</v>
      </c>
      <c r="E68" s="539" t="n">
        <v>25597</v>
      </c>
      <c r="F68" s="466" t="s">
        <v>432</v>
      </c>
      <c r="G68" s="467" t="n">
        <v>35704</v>
      </c>
      <c r="H68" s="467" t="n">
        <v>36891</v>
      </c>
      <c r="I68" s="472" t="n">
        <v>30000</v>
      </c>
      <c r="J68" s="294" t="n">
        <v>0.73</v>
      </c>
      <c r="K68" s="545" t="n">
        <f aca="false">$I68*$J68*K$2</f>
        <v>678900</v>
      </c>
      <c r="L68" s="545" t="n">
        <f aca="false">$I68*$J68*L$2</f>
        <v>613200</v>
      </c>
      <c r="M68" s="545" t="n">
        <f aca="false">$I68*$J68*M$2</f>
        <v>678900</v>
      </c>
      <c r="N68" s="545" t="n">
        <f aca="false">$I68*$J68*N$2</f>
        <v>657000</v>
      </c>
      <c r="O68" s="545" t="n">
        <f aca="false">$I68*$J68*O$2</f>
        <v>678900</v>
      </c>
      <c r="P68" s="545" t="n">
        <f aca="false">$I68*$J68*P$2</f>
        <v>657000</v>
      </c>
      <c r="Q68" s="545" t="n">
        <f aca="false">$I68*$J68*Q$2</f>
        <v>678900</v>
      </c>
      <c r="R68" s="545" t="n">
        <f aca="false">$I68*$J68*R$2</f>
        <v>678900</v>
      </c>
      <c r="S68" s="545" t="n">
        <f aca="false">$I68*$J68*S$2</f>
        <v>657000</v>
      </c>
      <c r="T68" s="545" t="n">
        <f aca="false">$I68*$J68*T$2</f>
        <v>678900</v>
      </c>
      <c r="U68" s="545" t="n">
        <f aca="false">$I68*$J68*U$2</f>
        <v>657000</v>
      </c>
      <c r="V68" s="545" t="n">
        <f aca="false">$I68*$J68*V$2</f>
        <v>678900</v>
      </c>
      <c r="W68" s="545"/>
      <c r="X68" s="545"/>
    </row>
    <row r="69" customFormat="false" ht="12.75" hidden="false" customHeight="true" outlineLevel="0" collapsed="false">
      <c r="A69" s="294" t="s">
        <v>405</v>
      </c>
      <c r="B69" s="294" t="s">
        <v>406</v>
      </c>
      <c r="C69" s="294" t="s">
        <v>5</v>
      </c>
      <c r="D69" s="294" t="s">
        <v>332</v>
      </c>
      <c r="E69" s="539" t="n">
        <v>26661</v>
      </c>
      <c r="F69" s="466" t="s">
        <v>479</v>
      </c>
      <c r="G69" s="467" t="n">
        <v>36526</v>
      </c>
      <c r="H69" s="467" t="n">
        <v>36891</v>
      </c>
      <c r="I69" s="472" t="n">
        <v>18000</v>
      </c>
      <c r="J69" s="294" t="n">
        <v>0.73</v>
      </c>
      <c r="K69" s="545" t="n">
        <f aca="false">$I69*$J69*K$2</f>
        <v>407340</v>
      </c>
      <c r="L69" s="545" t="n">
        <f aca="false">$I69*$J69*L$2</f>
        <v>367920</v>
      </c>
      <c r="M69" s="545" t="n">
        <f aca="false">$I69*$J69*M$2</f>
        <v>407340</v>
      </c>
      <c r="N69" s="545" t="n">
        <f aca="false">$I69*$J69*N$2</f>
        <v>394200</v>
      </c>
      <c r="O69" s="545" t="n">
        <f aca="false">$I69*$J69*O$2</f>
        <v>407340</v>
      </c>
      <c r="P69" s="545" t="n">
        <f aca="false">$I69*$J69*P$2</f>
        <v>394200</v>
      </c>
      <c r="Q69" s="545" t="n">
        <f aca="false">$I69*$J69*Q$2</f>
        <v>407340</v>
      </c>
      <c r="R69" s="545" t="n">
        <f aca="false">$I69*$J69*R$2</f>
        <v>407340</v>
      </c>
      <c r="S69" s="545" t="n">
        <f aca="false">$I69*$J69*S$2</f>
        <v>394200</v>
      </c>
      <c r="T69" s="545" t="n">
        <f aca="false">$I69*$J69*T$2</f>
        <v>407340</v>
      </c>
      <c r="U69" s="545" t="n">
        <f aca="false">$I69*$J69*U$2</f>
        <v>394200</v>
      </c>
      <c r="V69" s="545" t="n">
        <f aca="false">$I69*$J69*V$2</f>
        <v>407340</v>
      </c>
      <c r="W69" s="545"/>
      <c r="X69" s="545"/>
    </row>
    <row r="70" customFormat="false" ht="12.75" hidden="false" customHeight="true" outlineLevel="0" collapsed="false">
      <c r="A70" s="294" t="s">
        <v>405</v>
      </c>
      <c r="B70" s="294" t="s">
        <v>415</v>
      </c>
      <c r="C70" s="294" t="s">
        <v>5</v>
      </c>
      <c r="D70" s="294" t="s">
        <v>332</v>
      </c>
      <c r="E70" s="539" t="s">
        <v>480</v>
      </c>
      <c r="F70" s="466" t="s">
        <v>372</v>
      </c>
      <c r="G70" s="467" t="n">
        <v>36526</v>
      </c>
      <c r="H70" s="467" t="n">
        <v>36891</v>
      </c>
      <c r="I70" s="472" t="n">
        <v>13500</v>
      </c>
      <c r="J70" s="294" t="n">
        <v>0.73</v>
      </c>
      <c r="K70" s="545" t="n">
        <f aca="false">$I70*$J70*K$2</f>
        <v>305505</v>
      </c>
      <c r="L70" s="545" t="n">
        <f aca="false">$I70*$J70*L$2</f>
        <v>275940</v>
      </c>
      <c r="M70" s="545" t="n">
        <f aca="false">$I70*$J70*M$2</f>
        <v>305505</v>
      </c>
      <c r="N70" s="545" t="n">
        <f aca="false">$I70*$J70*N$2</f>
        <v>295650</v>
      </c>
      <c r="O70" s="545" t="n">
        <f aca="false">$I70*$J70*O$2</f>
        <v>305505</v>
      </c>
      <c r="P70" s="545" t="n">
        <f aca="false">$I70*$J70*P$2</f>
        <v>295650</v>
      </c>
      <c r="Q70" s="545" t="n">
        <f aca="false">$I70*$J70*Q$2</f>
        <v>305505</v>
      </c>
      <c r="R70" s="545" t="n">
        <f aca="false">$I70*$J70*R$2</f>
        <v>305505</v>
      </c>
      <c r="S70" s="545" t="n">
        <f aca="false">$I70*$J70*S$2</f>
        <v>295650</v>
      </c>
      <c r="T70" s="545" t="n">
        <f aca="false">$I70*$J70*T$2</f>
        <v>305505</v>
      </c>
      <c r="U70" s="545" t="n">
        <f aca="false">$I70*$J70*U$2</f>
        <v>295650</v>
      </c>
      <c r="V70" s="545" t="n">
        <f aca="false">$I70*$J70*V$2</f>
        <v>305505</v>
      </c>
      <c r="W70" s="545"/>
      <c r="X70" s="545"/>
    </row>
    <row r="71" customFormat="false" ht="12.75" hidden="false" customHeight="true" outlineLevel="0" collapsed="false">
      <c r="A71" s="294" t="s">
        <v>405</v>
      </c>
      <c r="B71" s="294" t="s">
        <v>415</v>
      </c>
      <c r="C71" s="294" t="s">
        <v>5</v>
      </c>
      <c r="D71" s="294" t="s">
        <v>332</v>
      </c>
      <c r="E71" s="539" t="n">
        <v>27047</v>
      </c>
      <c r="F71" s="466" t="s">
        <v>422</v>
      </c>
      <c r="G71" s="467" t="n">
        <v>36557</v>
      </c>
      <c r="H71" s="467" t="n">
        <v>36891</v>
      </c>
      <c r="I71" s="472" t="n">
        <v>70000</v>
      </c>
      <c r="J71" s="294" t="n">
        <v>0.73</v>
      </c>
      <c r="K71" s="545" t="n">
        <f aca="false">$I71*$J71*K$2</f>
        <v>1584100</v>
      </c>
      <c r="L71" s="545" t="n">
        <f aca="false">$I71*$J71*L$2</f>
        <v>1430800</v>
      </c>
      <c r="M71" s="545" t="n">
        <f aca="false">$I71*$J71*M$2</f>
        <v>1584100</v>
      </c>
      <c r="N71" s="545" t="n">
        <f aca="false">$I71*$J71*N$2</f>
        <v>1533000</v>
      </c>
      <c r="O71" s="545" t="n">
        <f aca="false">$I71*$J71*O$2</f>
        <v>1584100</v>
      </c>
      <c r="P71" s="545" t="n">
        <f aca="false">$I71*$J71*P$2</f>
        <v>1533000</v>
      </c>
      <c r="Q71" s="545" t="n">
        <f aca="false">$I71*$J71*Q$2</f>
        <v>1584100</v>
      </c>
      <c r="R71" s="545" t="n">
        <f aca="false">$I71*$J71*R$2</f>
        <v>1584100</v>
      </c>
      <c r="S71" s="545" t="n">
        <f aca="false">$I71*$J71*S$2</f>
        <v>1533000</v>
      </c>
      <c r="T71" s="545" t="n">
        <f aca="false">$I71*$J71*T$2</f>
        <v>1584100</v>
      </c>
      <c r="U71" s="545" t="n">
        <f aca="false">$I71*$J71*U$2</f>
        <v>1533000</v>
      </c>
      <c r="V71" s="545" t="n">
        <f aca="false">$I71*$J71*V$2</f>
        <v>1584100</v>
      </c>
      <c r="W71" s="545"/>
      <c r="X71" s="545"/>
    </row>
    <row r="72" customFormat="false" ht="12.75" hidden="false" customHeight="true" outlineLevel="0" collapsed="false">
      <c r="A72" s="294" t="s">
        <v>405</v>
      </c>
      <c r="B72" s="294" t="s">
        <v>415</v>
      </c>
      <c r="C72" s="294" t="s">
        <v>5</v>
      </c>
      <c r="D72" s="294" t="s">
        <v>332</v>
      </c>
      <c r="E72" s="539" t="n">
        <v>27017</v>
      </c>
      <c r="F72" s="466" t="s">
        <v>481</v>
      </c>
      <c r="G72" s="467" t="n">
        <v>36526</v>
      </c>
      <c r="H72" s="467" t="n">
        <v>36891</v>
      </c>
      <c r="I72" s="472" t="n">
        <v>30000</v>
      </c>
      <c r="J72" s="294" t="n">
        <v>0.73</v>
      </c>
      <c r="K72" s="546" t="n">
        <f aca="false">$I72*$J72*K$2</f>
        <v>678900</v>
      </c>
      <c r="L72" s="546" t="n">
        <f aca="false">$I72*$J72*L$2</f>
        <v>613200</v>
      </c>
      <c r="M72" s="546" t="n">
        <f aca="false">$I72*$J72*M$2</f>
        <v>678900</v>
      </c>
      <c r="N72" s="546" t="n">
        <f aca="false">$I72*$J72*N$2</f>
        <v>657000</v>
      </c>
      <c r="O72" s="546" t="n">
        <f aca="false">$I72*$J72*O$2</f>
        <v>678900</v>
      </c>
      <c r="P72" s="546" t="n">
        <f aca="false">$I72*$J72*P$2</f>
        <v>657000</v>
      </c>
      <c r="Q72" s="546" t="n">
        <f aca="false">$I72*$J72*Q$2</f>
        <v>678900</v>
      </c>
      <c r="R72" s="546" t="n">
        <f aca="false">$I72*$J72*R$2</f>
        <v>678900</v>
      </c>
      <c r="S72" s="546" t="n">
        <f aca="false">$I72*$J72*S$2</f>
        <v>657000</v>
      </c>
      <c r="T72" s="546" t="n">
        <f aca="false">$I72*$J72*T$2</f>
        <v>678900</v>
      </c>
      <c r="U72" s="546" t="n">
        <f aca="false">$I72*$J72*U$2</f>
        <v>657000</v>
      </c>
      <c r="V72" s="546" t="n">
        <f aca="false">$I72*$J72*V$2</f>
        <v>678900</v>
      </c>
      <c r="W72" s="545"/>
      <c r="X72" s="545"/>
    </row>
    <row r="73" customFormat="false" ht="12.75" hidden="false" customHeight="true" outlineLevel="0" collapsed="false">
      <c r="K73" s="360" t="n">
        <f aca="false">SUM(K65:K72)</f>
        <v>3654745</v>
      </c>
      <c r="L73" s="360" t="n">
        <f aca="false">SUM(L65:L72)</f>
        <v>3914260</v>
      </c>
      <c r="M73" s="360" t="n">
        <f aca="false">SUM(M65:M72)</f>
        <v>4333645</v>
      </c>
      <c r="N73" s="360" t="n">
        <f aca="false">SUM(N65:N72)</f>
        <v>4193850</v>
      </c>
      <c r="O73" s="360" t="n">
        <f aca="false">SUM(O65:O72)</f>
        <v>4333645</v>
      </c>
      <c r="P73" s="360" t="n">
        <f aca="false">SUM(P65:P72)</f>
        <v>4193850</v>
      </c>
      <c r="Q73" s="360" t="n">
        <f aca="false">SUM(Q65:Q72)</f>
        <v>4333645</v>
      </c>
      <c r="R73" s="360" t="n">
        <f aca="false">SUM(R65:R72)</f>
        <v>4333645</v>
      </c>
      <c r="S73" s="360" t="n">
        <f aca="false">SUM(S65:S72)</f>
        <v>4193850</v>
      </c>
      <c r="T73" s="360" t="n">
        <f aca="false">SUM(T65:T72)</f>
        <v>4333645</v>
      </c>
      <c r="U73" s="360" t="n">
        <f aca="false">SUM(U65:U72)</f>
        <v>4193850</v>
      </c>
      <c r="V73" s="360" t="n">
        <f aca="false">SUM(V65:V72)</f>
        <v>4673095</v>
      </c>
      <c r="W73" s="545"/>
      <c r="X73" s="545"/>
    </row>
    <row r="74" customFormat="false" ht="12.75" hidden="false" customHeight="true" outlineLevel="0" collapsed="false">
      <c r="K74" s="541"/>
      <c r="L74" s="545"/>
      <c r="M74" s="545"/>
      <c r="N74" s="545"/>
      <c r="O74" s="545"/>
      <c r="P74" s="545"/>
      <c r="Q74" s="545"/>
      <c r="R74" s="545"/>
      <c r="S74" s="545"/>
      <c r="T74" s="545"/>
      <c r="U74" s="545"/>
      <c r="V74" s="545"/>
      <c r="W74" s="545"/>
      <c r="X74" s="545"/>
    </row>
    <row r="75" customFormat="false" ht="12.75" hidden="false" customHeight="true" outlineLevel="0" collapsed="false">
      <c r="K75" s="541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45"/>
      <c r="X75" s="545"/>
    </row>
    <row r="76" customFormat="false" ht="12.75" hidden="false" customHeight="true" outlineLevel="0" collapsed="false">
      <c r="K76" s="294" t="n">
        <v>31</v>
      </c>
      <c r="L76" s="294" t="n">
        <v>28</v>
      </c>
      <c r="M76" s="294" t="n">
        <v>31</v>
      </c>
      <c r="N76" s="294" t="n">
        <v>30</v>
      </c>
      <c r="O76" s="294" t="n">
        <v>31</v>
      </c>
      <c r="P76" s="294" t="n">
        <v>30</v>
      </c>
      <c r="Q76" s="294" t="n">
        <v>31</v>
      </c>
      <c r="R76" s="294" t="n">
        <v>31</v>
      </c>
      <c r="S76" s="294" t="n">
        <v>30</v>
      </c>
      <c r="T76" s="294" t="n">
        <v>31</v>
      </c>
      <c r="U76" s="294" t="n">
        <v>30</v>
      </c>
      <c r="V76" s="294" t="n">
        <v>31</v>
      </c>
      <c r="X76" s="545"/>
    </row>
    <row r="77" customFormat="false" ht="12.75" hidden="false" customHeight="true" outlineLevel="0" collapsed="false">
      <c r="J77" s="548"/>
      <c r="K77" s="549" t="s">
        <v>233</v>
      </c>
      <c r="L77" s="549" t="s">
        <v>234</v>
      </c>
      <c r="M77" s="549" t="s">
        <v>235</v>
      </c>
      <c r="N77" s="549" t="s">
        <v>236</v>
      </c>
      <c r="O77" s="549" t="s">
        <v>100</v>
      </c>
      <c r="P77" s="549" t="s">
        <v>237</v>
      </c>
      <c r="Q77" s="549" t="s">
        <v>238</v>
      </c>
      <c r="R77" s="549" t="s">
        <v>239</v>
      </c>
      <c r="S77" s="549" t="s">
        <v>240</v>
      </c>
      <c r="T77" s="549" t="s">
        <v>241</v>
      </c>
      <c r="U77" s="549" t="s">
        <v>242</v>
      </c>
      <c r="V77" s="549" t="s">
        <v>243</v>
      </c>
      <c r="W77" s="549" t="s">
        <v>244</v>
      </c>
      <c r="X77" s="550"/>
    </row>
    <row r="78" customFormat="false" ht="12.75" hidden="false" customHeight="true" outlineLevel="0" collapsed="false">
      <c r="J78" s="294" t="s">
        <v>483</v>
      </c>
      <c r="K78" s="478" t="n">
        <f aca="false">K54/1000/K76</f>
        <v>0</v>
      </c>
      <c r="L78" s="478" t="n">
        <f aca="false">L54/1000/L76</f>
        <v>0</v>
      </c>
      <c r="M78" s="478" t="n">
        <f aca="false">M54/1000/M76</f>
        <v>0</v>
      </c>
      <c r="N78" s="478" t="n">
        <f aca="false">N54/1000/N76</f>
        <v>0</v>
      </c>
      <c r="O78" s="478" t="n">
        <f aca="false">O54/1000/O76</f>
        <v>0</v>
      </c>
      <c r="P78" s="478" t="n">
        <f aca="false">P54/1000/P76</f>
        <v>0</v>
      </c>
      <c r="Q78" s="478" t="n">
        <f aca="false">Q54/1000/Q76</f>
        <v>0</v>
      </c>
      <c r="R78" s="478" t="n">
        <f aca="false">R54/1000/R76</f>
        <v>0</v>
      </c>
      <c r="S78" s="478" t="n">
        <f aca="false">S54/1000/S76</f>
        <v>0</v>
      </c>
      <c r="T78" s="478" t="n">
        <f aca="false">T54/1000/T76</f>
        <v>0</v>
      </c>
      <c r="U78" s="478" t="n">
        <f aca="false">U54/1000/U76</f>
        <v>0</v>
      </c>
      <c r="V78" s="478" t="n">
        <f aca="false">V54/1000/V76</f>
        <v>0</v>
      </c>
      <c r="W78" s="478" t="n">
        <f aca="false">SUM(K78:V78)</f>
        <v>0</v>
      </c>
      <c r="X78" s="550"/>
    </row>
    <row r="79" customFormat="false" ht="12.75" hidden="false" customHeight="true" outlineLevel="0" collapsed="false">
      <c r="J79" s="294" t="s">
        <v>484</v>
      </c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8"/>
      <c r="V79" s="478"/>
      <c r="W79" s="478"/>
      <c r="X79" s="550"/>
    </row>
    <row r="80" customFormat="false" ht="12.75" hidden="false" customHeight="true" outlineLevel="0" collapsed="false">
      <c r="J80" s="294" t="s">
        <v>485</v>
      </c>
      <c r="K80" s="478"/>
      <c r="L80" s="478"/>
      <c r="M80" s="478"/>
      <c r="N80" s="478"/>
      <c r="O80" s="478"/>
      <c r="P80" s="478"/>
      <c r="Q80" s="478"/>
      <c r="R80" s="478"/>
      <c r="S80" s="478"/>
      <c r="T80" s="478"/>
      <c r="U80" s="478"/>
      <c r="V80" s="478"/>
      <c r="W80" s="478"/>
      <c r="X80" s="550"/>
    </row>
    <row r="81" customFormat="false" ht="12.75" hidden="false" customHeight="true" outlineLevel="0" collapsed="false">
      <c r="J81" s="294" t="s">
        <v>486</v>
      </c>
      <c r="K81" s="478" t="n">
        <f aca="false">K50/1000/K76</f>
        <v>0</v>
      </c>
      <c r="L81" s="478" t="n">
        <f aca="false">L50/1000/L76</f>
        <v>18.2</v>
      </c>
      <c r="M81" s="478" t="n">
        <f aca="false">M50/1000/M76</f>
        <v>18.2</v>
      </c>
      <c r="N81" s="478" t="n">
        <f aca="false">N50/1000/N76</f>
        <v>18.2</v>
      </c>
      <c r="O81" s="478" t="n">
        <f aca="false">O50/1000/O76</f>
        <v>25.48</v>
      </c>
      <c r="P81" s="478" t="n">
        <f aca="false">P50/1000/P76</f>
        <v>25.48</v>
      </c>
      <c r="Q81" s="478" t="n">
        <f aca="false">Q50/1000/Q76</f>
        <v>25.48</v>
      </c>
      <c r="R81" s="478" t="n">
        <f aca="false">R50/1000/R76</f>
        <v>25.48</v>
      </c>
      <c r="S81" s="478" t="n">
        <f aca="false">S50/1000/S76</f>
        <v>25.48</v>
      </c>
      <c r="T81" s="478" t="n">
        <f aca="false">T50/1000/T76</f>
        <v>25.48</v>
      </c>
      <c r="U81" s="478" t="n">
        <f aca="false">U50/1000/U76</f>
        <v>89.18</v>
      </c>
      <c r="V81" s="478" t="n">
        <f aca="false">V50/1000/V76</f>
        <v>89.18</v>
      </c>
      <c r="W81" s="478" t="n">
        <f aca="false">SUM(K81:V81)</f>
        <v>385.84</v>
      </c>
      <c r="X81" s="550"/>
    </row>
    <row r="82" customFormat="false" ht="12.75" hidden="false" customHeight="true" outlineLevel="0" collapsed="false">
      <c r="J82" s="294" t="s">
        <v>487</v>
      </c>
      <c r="K82" s="478" t="n">
        <f aca="false">K73/1000/K76</f>
        <v>117.895</v>
      </c>
      <c r="L82" s="478" t="n">
        <f aca="false">L73/1000/L76</f>
        <v>139.795</v>
      </c>
      <c r="M82" s="478" t="n">
        <f aca="false">M73/1000/M76</f>
        <v>139.795</v>
      </c>
      <c r="N82" s="478" t="n">
        <f aca="false">N73/1000/N76</f>
        <v>139.795</v>
      </c>
      <c r="O82" s="478" t="n">
        <f aca="false">O73/1000/O76</f>
        <v>139.795</v>
      </c>
      <c r="P82" s="478" t="n">
        <f aca="false">P73/1000/P76</f>
        <v>139.795</v>
      </c>
      <c r="Q82" s="478" t="n">
        <f aca="false">Q73/1000/Q76</f>
        <v>139.795</v>
      </c>
      <c r="R82" s="478" t="n">
        <f aca="false">R73/1000/R76</f>
        <v>139.795</v>
      </c>
      <c r="S82" s="478" t="n">
        <f aca="false">S73/1000/S76</f>
        <v>139.795</v>
      </c>
      <c r="T82" s="478" t="n">
        <f aca="false">T73/1000/T76</f>
        <v>139.795</v>
      </c>
      <c r="U82" s="478" t="n">
        <f aca="false">U73/1000/U76</f>
        <v>139.795</v>
      </c>
      <c r="V82" s="478" t="n">
        <f aca="false">V73/1000/V76</f>
        <v>150.745</v>
      </c>
      <c r="W82" s="478" t="n">
        <f aca="false">SUM(K82:V82)</f>
        <v>1666.59</v>
      </c>
      <c r="X82" s="541"/>
    </row>
    <row r="83" customFormat="false" ht="12.75" hidden="false" customHeight="true" outlineLevel="0" collapsed="false">
      <c r="J83" s="294" t="s">
        <v>488</v>
      </c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 t="n">
        <f aca="false">SUM(K83:V83)</f>
        <v>0</v>
      </c>
      <c r="X83" s="551"/>
    </row>
    <row r="84" customFormat="false" ht="12.75" hidden="false" customHeight="true" outlineLevel="0" collapsed="false">
      <c r="J84" s="294" t="s">
        <v>489</v>
      </c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478" t="n">
        <f aca="false">SUM(K84:V84)</f>
        <v>0</v>
      </c>
      <c r="X84" s="551"/>
    </row>
    <row r="85" customFormat="false" ht="12.75" hidden="false" customHeight="true" outlineLevel="0" collapsed="false">
      <c r="J85" s="294" t="s">
        <v>490</v>
      </c>
      <c r="K85" s="552" t="n">
        <f aca="false">SUM(K78:K84)</f>
        <v>117.895</v>
      </c>
      <c r="L85" s="552" t="n">
        <f aca="false">SUM(L78:L84)</f>
        <v>157.995</v>
      </c>
      <c r="M85" s="552" t="n">
        <f aca="false">SUM(M78:M84)</f>
        <v>157.995</v>
      </c>
      <c r="N85" s="552" t="n">
        <f aca="false">SUM(N78:N84)</f>
        <v>157.995</v>
      </c>
      <c r="O85" s="552" t="n">
        <f aca="false">SUM(O78:O84)</f>
        <v>165.275</v>
      </c>
      <c r="P85" s="552" t="n">
        <f aca="false">SUM(P78:P84)</f>
        <v>165.275</v>
      </c>
      <c r="Q85" s="552" t="n">
        <f aca="false">SUM(Q78:Q84)</f>
        <v>165.275</v>
      </c>
      <c r="R85" s="552" t="n">
        <f aca="false">SUM(R78:R84)</f>
        <v>165.275</v>
      </c>
      <c r="S85" s="552" t="n">
        <f aca="false">SUM(S78:S84)</f>
        <v>165.275</v>
      </c>
      <c r="T85" s="552" t="n">
        <f aca="false">SUM(T78:T84)</f>
        <v>165.275</v>
      </c>
      <c r="U85" s="552" t="n">
        <f aca="false">SUM(U78:U84)</f>
        <v>228.975</v>
      </c>
      <c r="V85" s="552" t="n">
        <f aca="false">SUM(V78:V84)</f>
        <v>239.925</v>
      </c>
      <c r="W85" s="552" t="n">
        <f aca="false">SUM(W78:W84)</f>
        <v>2052.43</v>
      </c>
      <c r="X85" s="551"/>
    </row>
    <row r="86" customFormat="false" ht="12.75" hidden="false" customHeight="true" outlineLevel="0" collapsed="false">
      <c r="K86" s="478"/>
      <c r="L86" s="478"/>
      <c r="M86" s="478"/>
      <c r="N86" s="478"/>
      <c r="O86" s="478"/>
      <c r="P86" s="478"/>
      <c r="Q86" s="478"/>
      <c r="R86" s="478"/>
      <c r="S86" s="478"/>
      <c r="T86" s="478"/>
      <c r="U86" s="478"/>
      <c r="V86" s="478"/>
      <c r="W86" s="478"/>
      <c r="X86" s="551"/>
    </row>
    <row r="87" customFormat="false" ht="12.75" hidden="false" customHeight="true" outlineLevel="0" collapsed="false">
      <c r="J87" s="294" t="s">
        <v>491</v>
      </c>
      <c r="K87" s="478" t="n">
        <f aca="false">K63/1000/K76</f>
        <v>0</v>
      </c>
      <c r="L87" s="478" t="n">
        <f aca="false">L63/1000/L76</f>
        <v>0</v>
      </c>
      <c r="M87" s="478" t="n">
        <f aca="false">M63/1000/M76</f>
        <v>7.8</v>
      </c>
      <c r="N87" s="478" t="n">
        <f aca="false">N63/1000/N76</f>
        <v>7.8</v>
      </c>
      <c r="O87" s="478" t="n">
        <f aca="false">O63/1000/O76</f>
        <v>7.8</v>
      </c>
      <c r="P87" s="478" t="n">
        <f aca="false">P63/1000/P76</f>
        <v>7.8</v>
      </c>
      <c r="Q87" s="478" t="n">
        <f aca="false">Q63/1000/Q76</f>
        <v>7.8</v>
      </c>
      <c r="R87" s="478" t="n">
        <f aca="false">R63/1000/R76</f>
        <v>7.8</v>
      </c>
      <c r="S87" s="478" t="n">
        <f aca="false">S63/1000/S76</f>
        <v>7.8</v>
      </c>
      <c r="T87" s="478" t="n">
        <f aca="false">T63/1000/T76</f>
        <v>7.8</v>
      </c>
      <c r="U87" s="478" t="n">
        <f aca="false">U63/1000/U76</f>
        <v>139</v>
      </c>
      <c r="V87" s="478" t="n">
        <f aca="false">V63/1000/V76</f>
        <v>139</v>
      </c>
      <c r="W87" s="478" t="n">
        <f aca="false">SUM(K87:V87)</f>
        <v>340.4</v>
      </c>
      <c r="X87" s="551"/>
    </row>
    <row r="88" customFormat="false" ht="12.75" hidden="false" customHeight="true" outlineLevel="0" collapsed="false">
      <c r="K88" s="478"/>
      <c r="L88" s="478"/>
      <c r="M88" s="478"/>
      <c r="N88" s="478"/>
      <c r="O88" s="478"/>
      <c r="P88" s="478"/>
      <c r="Q88" s="478"/>
      <c r="R88" s="478"/>
      <c r="S88" s="478"/>
      <c r="T88" s="478"/>
      <c r="U88" s="478"/>
      <c r="V88" s="478"/>
      <c r="W88" s="478"/>
      <c r="X88" s="551"/>
    </row>
    <row r="89" customFormat="false" ht="12.75" hidden="false" customHeight="true" outlineLevel="0" collapsed="false">
      <c r="J89" s="294" t="s">
        <v>483</v>
      </c>
      <c r="K89" s="553" t="n">
        <v>0.045</v>
      </c>
      <c r="L89" s="553" t="n">
        <v>0.045</v>
      </c>
      <c r="M89" s="553" t="n">
        <v>0.045</v>
      </c>
      <c r="N89" s="553" t="n">
        <v>0.045</v>
      </c>
      <c r="O89" s="553" t="n">
        <v>0.045</v>
      </c>
      <c r="P89" s="553" t="n">
        <v>0.045</v>
      </c>
      <c r="Q89" s="553" t="n">
        <v>0.045</v>
      </c>
      <c r="R89" s="553" t="n">
        <v>0.045</v>
      </c>
      <c r="S89" s="553" t="n">
        <v>0.045</v>
      </c>
      <c r="T89" s="553" t="n">
        <v>0.045</v>
      </c>
      <c r="U89" s="553" t="n">
        <v>0.045</v>
      </c>
      <c r="V89" s="553" t="n">
        <v>0.045</v>
      </c>
      <c r="W89" s="478"/>
      <c r="X89" s="541"/>
    </row>
    <row r="90" customFormat="false" ht="12.75" hidden="false" customHeight="true" outlineLevel="0" collapsed="false">
      <c r="J90" s="294" t="s">
        <v>484</v>
      </c>
      <c r="K90" s="553" t="n">
        <v>0.045</v>
      </c>
      <c r="L90" s="553" t="n">
        <v>0.045</v>
      </c>
      <c r="M90" s="553" t="n">
        <v>0.045</v>
      </c>
      <c r="N90" s="553" t="n">
        <v>0.0475</v>
      </c>
      <c r="O90" s="553" t="n">
        <v>0.0475</v>
      </c>
      <c r="P90" s="553" t="n">
        <v>0.0475</v>
      </c>
      <c r="Q90" s="553" t="n">
        <v>0.0475</v>
      </c>
      <c r="R90" s="553" t="n">
        <v>0.0475</v>
      </c>
      <c r="S90" s="553" t="n">
        <v>0.0475</v>
      </c>
      <c r="T90" s="553" t="n">
        <v>0.0475</v>
      </c>
      <c r="U90" s="553" t="n">
        <v>0.0475</v>
      </c>
      <c r="V90" s="553" t="n">
        <v>0.0475</v>
      </c>
      <c r="W90" s="478"/>
      <c r="X90" s="554"/>
    </row>
    <row r="91" customFormat="false" ht="12.75" hidden="false" customHeight="true" outlineLevel="0" collapsed="false">
      <c r="J91" s="294" t="s">
        <v>485</v>
      </c>
      <c r="K91" s="553" t="n">
        <f aca="false">0.045+0.0025</f>
        <v>0.0475</v>
      </c>
      <c r="L91" s="553" t="n">
        <f aca="false">0.045+0.0025</f>
        <v>0.0475</v>
      </c>
      <c r="M91" s="553" t="n">
        <f aca="false">0.045+0.0025</f>
        <v>0.0475</v>
      </c>
      <c r="N91" s="553" t="n">
        <f aca="false">0.045+0.0025</f>
        <v>0.0475</v>
      </c>
      <c r="O91" s="553" t="n">
        <f aca="false">0.045+0.0025</f>
        <v>0.0475</v>
      </c>
      <c r="P91" s="553" t="n">
        <f aca="false">0.045+0.0025</f>
        <v>0.0475</v>
      </c>
      <c r="Q91" s="553" t="n">
        <f aca="false">0.045+0.0025</f>
        <v>0.0475</v>
      </c>
      <c r="R91" s="553" t="n">
        <f aca="false">0.045+0.0025</f>
        <v>0.0475</v>
      </c>
      <c r="S91" s="553" t="n">
        <f aca="false">0.045+0.0025</f>
        <v>0.0475</v>
      </c>
      <c r="T91" s="553" t="n">
        <f aca="false">0.045+0.0025</f>
        <v>0.0475</v>
      </c>
      <c r="U91" s="553" t="n">
        <f aca="false">0.045+0.0025</f>
        <v>0.0475</v>
      </c>
      <c r="V91" s="553" t="n">
        <f aca="false">0.045+0.0025</f>
        <v>0.0475</v>
      </c>
      <c r="W91" s="478"/>
      <c r="X91" s="555"/>
    </row>
    <row r="92" customFormat="false" ht="12.75" hidden="false" customHeight="true" outlineLevel="0" collapsed="false">
      <c r="J92" s="294" t="s">
        <v>486</v>
      </c>
      <c r="K92" s="553" t="n">
        <v>0.05</v>
      </c>
      <c r="L92" s="553" t="n">
        <v>0.05</v>
      </c>
      <c r="M92" s="553" t="n">
        <v>0.05</v>
      </c>
      <c r="N92" s="553" t="n">
        <v>0.05</v>
      </c>
      <c r="O92" s="553" t="n">
        <v>0.05</v>
      </c>
      <c r="P92" s="553" t="n">
        <v>0.05</v>
      </c>
      <c r="Q92" s="553" t="n">
        <v>0.05</v>
      </c>
      <c r="R92" s="553" t="n">
        <v>0.05</v>
      </c>
      <c r="S92" s="553" t="n">
        <v>0.05</v>
      </c>
      <c r="T92" s="553" t="n">
        <v>0.05</v>
      </c>
      <c r="U92" s="553" t="n">
        <v>0.05</v>
      </c>
      <c r="V92" s="553" t="n">
        <v>0.05</v>
      </c>
      <c r="W92" s="478"/>
      <c r="X92" s="555"/>
    </row>
    <row r="93" customFormat="false" ht="12.75" hidden="false" customHeight="true" outlineLevel="0" collapsed="false">
      <c r="J93" s="294" t="s">
        <v>487</v>
      </c>
      <c r="K93" s="553" t="n">
        <v>0.0025</v>
      </c>
      <c r="L93" s="553" t="n">
        <v>0.0025</v>
      </c>
      <c r="M93" s="553" t="n">
        <v>0.0025</v>
      </c>
      <c r="N93" s="553" t="n">
        <v>0.0025</v>
      </c>
      <c r="O93" s="553" t="n">
        <v>0.0025</v>
      </c>
      <c r="P93" s="553" t="n">
        <v>0.0025</v>
      </c>
      <c r="Q93" s="553" t="n">
        <v>0.0025</v>
      </c>
      <c r="R93" s="553" t="n">
        <v>0.0025</v>
      </c>
      <c r="S93" s="553" t="n">
        <v>0.0025</v>
      </c>
      <c r="T93" s="553" t="n">
        <v>0.0025</v>
      </c>
      <c r="U93" s="553" t="n">
        <v>0.0025</v>
      </c>
      <c r="V93" s="553" t="n">
        <v>0.0025</v>
      </c>
      <c r="W93" s="478"/>
      <c r="X93" s="333"/>
    </row>
    <row r="94" customFormat="false" ht="12.75" hidden="false" customHeight="true" outlineLevel="0" collapsed="false">
      <c r="J94" s="294" t="s">
        <v>488</v>
      </c>
      <c r="K94" s="553" t="n">
        <v>0.0025</v>
      </c>
      <c r="L94" s="553" t="n">
        <v>0.0025</v>
      </c>
      <c r="M94" s="553" t="n">
        <v>0.0025</v>
      </c>
      <c r="N94" s="553" t="n">
        <v>0.0025</v>
      </c>
      <c r="O94" s="553" t="n">
        <v>0.0025</v>
      </c>
      <c r="P94" s="553" t="n">
        <v>0.0025</v>
      </c>
      <c r="Q94" s="553" t="n">
        <v>0.0025</v>
      </c>
      <c r="R94" s="553" t="n">
        <v>0.0025</v>
      </c>
      <c r="S94" s="553" t="n">
        <v>0.0025</v>
      </c>
      <c r="T94" s="553" t="n">
        <v>0.0025</v>
      </c>
      <c r="U94" s="553" t="n">
        <v>0.0025</v>
      </c>
      <c r="V94" s="553" t="n">
        <v>0.0025</v>
      </c>
      <c r="W94" s="478"/>
      <c r="X94" s="333"/>
    </row>
    <row r="95" customFormat="false" ht="12.75" hidden="false" customHeight="true" outlineLevel="0" collapsed="false">
      <c r="J95" s="294" t="s">
        <v>489</v>
      </c>
      <c r="K95" s="553" t="n">
        <v>0.0025</v>
      </c>
      <c r="L95" s="553" t="n">
        <v>0.0025</v>
      </c>
      <c r="M95" s="553" t="n">
        <v>0.0025</v>
      </c>
      <c r="N95" s="553" t="n">
        <v>0.0025</v>
      </c>
      <c r="O95" s="553" t="n">
        <v>0.0025</v>
      </c>
      <c r="P95" s="553" t="n">
        <v>0.0025</v>
      </c>
      <c r="Q95" s="553" t="n">
        <v>0.0025</v>
      </c>
      <c r="R95" s="553" t="n">
        <v>0.0025</v>
      </c>
      <c r="S95" s="553" t="n">
        <v>0.0025</v>
      </c>
      <c r="T95" s="553" t="n">
        <v>0.0025</v>
      </c>
      <c r="U95" s="553" t="n">
        <v>0.0025</v>
      </c>
      <c r="V95" s="553" t="n">
        <v>0.0025</v>
      </c>
      <c r="W95" s="478"/>
      <c r="X95" s="333"/>
    </row>
    <row r="96" customFormat="false" ht="12.75" hidden="false" customHeight="true" outlineLevel="0" collapsed="false">
      <c r="J96" s="294" t="s">
        <v>231</v>
      </c>
      <c r="K96" s="553" t="n">
        <v>0.0131</v>
      </c>
      <c r="L96" s="553" t="n">
        <v>0.0131</v>
      </c>
      <c r="M96" s="553" t="n">
        <v>0.0131</v>
      </c>
      <c r="N96" s="553" t="n">
        <v>0.0131</v>
      </c>
      <c r="O96" s="553" t="n">
        <v>0.0131</v>
      </c>
      <c r="P96" s="553" t="n">
        <v>0.0131</v>
      </c>
      <c r="Q96" s="553" t="n">
        <v>0.0131</v>
      </c>
      <c r="R96" s="553" t="n">
        <v>0.0131</v>
      </c>
      <c r="S96" s="553" t="n">
        <v>0.0131</v>
      </c>
      <c r="T96" s="553" t="n">
        <v>0.0131</v>
      </c>
      <c r="U96" s="553" t="n">
        <v>0.0131</v>
      </c>
      <c r="V96" s="553" t="n">
        <v>0.0131</v>
      </c>
      <c r="W96" s="478"/>
      <c r="X96" s="333"/>
    </row>
    <row r="97" customFormat="false" ht="12.75" hidden="false" customHeight="true" outlineLevel="0" collapsed="false"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333"/>
    </row>
    <row r="98" customFormat="false" ht="12.75" hidden="false" customHeight="true" outlineLevel="0" collapsed="false">
      <c r="J98" s="294" t="s">
        <v>483</v>
      </c>
      <c r="K98" s="478" t="n">
        <f aca="false">ROUND((((K78/(1-K89))-K78)*K$2),0)</f>
        <v>0</v>
      </c>
      <c r="L98" s="478" t="n">
        <f aca="false">ROUND((((L78/(1-L89))-L78)*L$2),0)</f>
        <v>0</v>
      </c>
      <c r="M98" s="478" t="n">
        <f aca="false">ROUND((((M78/(1-M89))-M78)*M$2),0)</f>
        <v>0</v>
      </c>
      <c r="N98" s="478" t="n">
        <f aca="false">ROUND((((N78/(1-N89))-N78)*N$2),0)</f>
        <v>0</v>
      </c>
      <c r="O98" s="478" t="n">
        <f aca="false">ROUND((((O78/(1-O89))-O78)*O$2),0)</f>
        <v>0</v>
      </c>
      <c r="P98" s="478" t="n">
        <f aca="false">ROUND((((P78/(1-P89))-P78)*P$2),0)</f>
        <v>0</v>
      </c>
      <c r="Q98" s="478" t="n">
        <f aca="false">ROUND((((Q78/(1-Q89))-Q78)*Q$2),0)</f>
        <v>0</v>
      </c>
      <c r="R98" s="478" t="n">
        <f aca="false">ROUND((((R78/(1-R89))-R78)*R$2),0)</f>
        <v>0</v>
      </c>
      <c r="S98" s="478" t="n">
        <f aca="false">ROUND((((S78/(1-S89))-S78)*S$2),0)</f>
        <v>0</v>
      </c>
      <c r="T98" s="478" t="n">
        <f aca="false">ROUND((((T78/(1-T89))-T78)*T$2),0)</f>
        <v>0</v>
      </c>
      <c r="U98" s="478" t="n">
        <f aca="false">ROUND((((U78/(1-U89))-U78)*U$2),0)</f>
        <v>0</v>
      </c>
      <c r="V98" s="478" t="n">
        <f aca="false">ROUND((((V78/(1-V89))-V78)*V$2),0)</f>
        <v>0</v>
      </c>
      <c r="W98" s="478" t="n">
        <f aca="false">SUM(K98:V98)</f>
        <v>0</v>
      </c>
    </row>
    <row r="99" customFormat="false" ht="12.75" hidden="false" customHeight="true" outlineLevel="0" collapsed="false">
      <c r="J99" s="294" t="s">
        <v>484</v>
      </c>
      <c r="K99" s="478" t="n">
        <f aca="false">ROUND((((K79/(1-K90))-K79)*K$2),0)</f>
        <v>0</v>
      </c>
      <c r="L99" s="478" t="n">
        <f aca="false">ROUND((((L79/(1-L90))-L79)*L$2),0)</f>
        <v>0</v>
      </c>
      <c r="M99" s="478" t="n">
        <f aca="false">ROUND((((M79/(1-M90))-M79)*M$2),0)</f>
        <v>0</v>
      </c>
      <c r="N99" s="478" t="n">
        <f aca="false">ROUND((((N79/(1-N90))-N79)*N$2),0)</f>
        <v>0</v>
      </c>
      <c r="O99" s="478" t="n">
        <f aca="false">ROUND((((O79/(1-O90))-O79)*O$2),0)</f>
        <v>0</v>
      </c>
      <c r="P99" s="478" t="n">
        <f aca="false">ROUND((((P79/(1-P90))-P79)*P$2),0)</f>
        <v>0</v>
      </c>
      <c r="Q99" s="478" t="n">
        <f aca="false">ROUND((((Q79/(1-Q90))-Q79)*Q$2),0)</f>
        <v>0</v>
      </c>
      <c r="R99" s="478" t="n">
        <f aca="false">ROUND((((R79/(1-R90))-R79)*R$2),0)</f>
        <v>0</v>
      </c>
      <c r="S99" s="478" t="n">
        <f aca="false">ROUND((((S79/(1-S90))-S79)*S$2),0)</f>
        <v>0</v>
      </c>
      <c r="T99" s="478" t="n">
        <f aca="false">ROUND((((T79/(1-T90))-T79)*T$2),0)</f>
        <v>0</v>
      </c>
      <c r="U99" s="478" t="n">
        <f aca="false">ROUND((((U79/(1-U90))-U79)*U$2),0)</f>
        <v>0</v>
      </c>
      <c r="V99" s="478" t="n">
        <f aca="false">ROUND((((V79/(1-V90))-V79)*V$2),0)</f>
        <v>0</v>
      </c>
      <c r="W99" s="478" t="n">
        <f aca="false">SUM(K99:V99)</f>
        <v>0</v>
      </c>
    </row>
    <row r="100" customFormat="false" ht="12.75" hidden="false" customHeight="true" outlineLevel="0" collapsed="false">
      <c r="J100" s="294" t="s">
        <v>485</v>
      </c>
      <c r="K100" s="478" t="n">
        <f aca="false">ROUND((((K80/(1-K91))-K80)*K$2),0)</f>
        <v>0</v>
      </c>
      <c r="L100" s="478" t="n">
        <f aca="false">ROUND((((L80/(1-L91))-L80)*L$2),0)</f>
        <v>0</v>
      </c>
      <c r="M100" s="478" t="n">
        <f aca="false">ROUND((((M80/(1-M91))-M80)*M$2),0)</f>
        <v>0</v>
      </c>
      <c r="N100" s="478" t="n">
        <f aca="false">ROUND((((N80/(1-N91))-N80)*N$2),0)</f>
        <v>0</v>
      </c>
      <c r="O100" s="478" t="n">
        <f aca="false">ROUND((((O80/(1-O91))-O80)*O$2),0)</f>
        <v>0</v>
      </c>
      <c r="P100" s="478" t="n">
        <f aca="false">ROUND((((P80/(1-P91))-P80)*P$2),0)</f>
        <v>0</v>
      </c>
      <c r="Q100" s="478" t="n">
        <f aca="false">ROUND((((Q80/(1-Q91))-Q80)*Q$2),0)</f>
        <v>0</v>
      </c>
      <c r="R100" s="478" t="n">
        <f aca="false">ROUND((((R80/(1-R91))-R80)*R$2),0)</f>
        <v>0</v>
      </c>
      <c r="S100" s="478" t="n">
        <f aca="false">ROUND((((S80/(1-S91))-S80)*S$2),0)</f>
        <v>0</v>
      </c>
      <c r="T100" s="478" t="n">
        <f aca="false">ROUND((((T80/(1-T91))-T80)*T$2),0)</f>
        <v>0</v>
      </c>
      <c r="U100" s="478" t="n">
        <f aca="false">ROUND((((U80/(1-U91))-U80)*U$2),0)</f>
        <v>0</v>
      </c>
      <c r="V100" s="478" t="n">
        <f aca="false">ROUND((((V80/(1-V91))-V80)*V$2),0)</f>
        <v>0</v>
      </c>
      <c r="W100" s="478" t="n">
        <f aca="false">SUM(K100:V100)</f>
        <v>0</v>
      </c>
    </row>
    <row r="101" customFormat="false" ht="12.75" hidden="false" customHeight="true" outlineLevel="0" collapsed="false">
      <c r="J101" s="294" t="s">
        <v>486</v>
      </c>
      <c r="K101" s="478" t="n">
        <f aca="false">ROUND((((K81/(1-K92))-K81)*K$2),0)</f>
        <v>0</v>
      </c>
      <c r="L101" s="478" t="n">
        <f aca="false">ROUND((((L81/(1-L92))-L81)*L$2),0)</f>
        <v>27</v>
      </c>
      <c r="M101" s="478" t="n">
        <f aca="false">ROUND((((M81/(1-M92))-M81)*M$2),0)</f>
        <v>30</v>
      </c>
      <c r="N101" s="478" t="n">
        <f aca="false">ROUND((((N81/(1-N92))-N81)*N$2),0)</f>
        <v>29</v>
      </c>
      <c r="O101" s="478" t="n">
        <f aca="false">ROUND((((O81/(1-O92))-O81)*O$2),0)</f>
        <v>42</v>
      </c>
      <c r="P101" s="478" t="n">
        <f aca="false">ROUND((((P81/(1-P92))-P81)*P$2),0)</f>
        <v>40</v>
      </c>
      <c r="Q101" s="478" t="n">
        <f aca="false">ROUND((((Q81/(1-Q92))-Q81)*Q$2),0)</f>
        <v>42</v>
      </c>
      <c r="R101" s="478" t="n">
        <f aca="false">ROUND((((R81/(1-R92))-R81)*R$2),0)</f>
        <v>42</v>
      </c>
      <c r="S101" s="478" t="n">
        <f aca="false">ROUND((((S81/(1-S92))-S81)*S$2),0)</f>
        <v>40</v>
      </c>
      <c r="T101" s="478" t="n">
        <f aca="false">ROUND((((T81/(1-T92))-T81)*T$2),0)</f>
        <v>42</v>
      </c>
      <c r="U101" s="478" t="n">
        <f aca="false">ROUND((((U81/(1-U92))-U81)*U$2),0)</f>
        <v>141</v>
      </c>
      <c r="V101" s="478" t="n">
        <f aca="false">ROUND((((V81/(1-V92))-V81)*V$2),0)</f>
        <v>146</v>
      </c>
      <c r="W101" s="478" t="n">
        <f aca="false">SUM(K101:V101)</f>
        <v>621</v>
      </c>
    </row>
    <row r="102" customFormat="false" ht="12.75" hidden="false" customHeight="true" outlineLevel="0" collapsed="false">
      <c r="J102" s="294" t="s">
        <v>487</v>
      </c>
      <c r="K102" s="478" t="n">
        <f aca="false">ROUND((((K82/(1-K93))-K82)*K$2),0)</f>
        <v>9</v>
      </c>
      <c r="L102" s="478" t="n">
        <f aca="false">ROUND((((L82/(1-L93))-L82)*L$2),0)</f>
        <v>10</v>
      </c>
      <c r="M102" s="478" t="n">
        <f aca="false">ROUND((((M82/(1-M93))-M82)*M$2),0)</f>
        <v>11</v>
      </c>
      <c r="N102" s="478" t="n">
        <f aca="false">ROUND((((N82/(1-N93))-N82)*N$2),0)</f>
        <v>11</v>
      </c>
      <c r="O102" s="478" t="n">
        <f aca="false">ROUND((((O82/(1-O93))-O82)*O$2),0)</f>
        <v>11</v>
      </c>
      <c r="P102" s="478" t="n">
        <f aca="false">ROUND((((P82/(1-P93))-P82)*P$2),0)</f>
        <v>11</v>
      </c>
      <c r="Q102" s="478" t="n">
        <f aca="false">ROUND((((Q82/(1-Q93))-Q82)*Q$2),0)</f>
        <v>11</v>
      </c>
      <c r="R102" s="478" t="n">
        <f aca="false">ROUND((((R82/(1-R93))-R82)*R$2),0)</f>
        <v>11</v>
      </c>
      <c r="S102" s="478" t="n">
        <f aca="false">ROUND((((S82/(1-S93))-S82)*S$2),0)</f>
        <v>11</v>
      </c>
      <c r="T102" s="478" t="n">
        <f aca="false">ROUND((((T82/(1-T93))-T82)*T$2),0)</f>
        <v>11</v>
      </c>
      <c r="U102" s="478" t="n">
        <f aca="false">ROUND((((U82/(1-U93))-U82)*U$2),0)</f>
        <v>11</v>
      </c>
      <c r="V102" s="478" t="n">
        <f aca="false">ROUND((((V82/(1-V93))-V82)*V$2),0)</f>
        <v>12</v>
      </c>
      <c r="W102" s="478" t="n">
        <f aca="false">SUM(K102:V102)</f>
        <v>130</v>
      </c>
    </row>
    <row r="103" customFormat="false" ht="12.75" hidden="false" customHeight="true" outlineLevel="0" collapsed="false">
      <c r="J103" s="294" t="s">
        <v>488</v>
      </c>
      <c r="K103" s="478" t="n">
        <f aca="false">ROUND((((K83/(1-K94))-K83)*K$2),0)</f>
        <v>0</v>
      </c>
      <c r="L103" s="478" t="n">
        <f aca="false">ROUND((((L83/(1-L94))-L83)*L$2),0)</f>
        <v>0</v>
      </c>
      <c r="M103" s="478" t="n">
        <f aca="false">ROUND((((M83/(1-M94))-M83)*M$2),0)</f>
        <v>0</v>
      </c>
      <c r="N103" s="478" t="n">
        <f aca="false">ROUND((((N83/(1-N94))-N83)*N$2),0)</f>
        <v>0</v>
      </c>
      <c r="O103" s="478" t="n">
        <f aca="false">ROUND((((O83/(1-O94))-O83)*O$2),0)</f>
        <v>0</v>
      </c>
      <c r="P103" s="478" t="n">
        <f aca="false">ROUND((((P83/(1-P94))-P83)*P$2),0)</f>
        <v>0</v>
      </c>
      <c r="Q103" s="478" t="n">
        <f aca="false">ROUND((((Q83/(1-Q94))-Q83)*Q$2),0)</f>
        <v>0</v>
      </c>
      <c r="R103" s="478" t="n">
        <f aca="false">ROUND((((R83/(1-R94))-R83)*R$2),0)</f>
        <v>0</v>
      </c>
      <c r="S103" s="478" t="n">
        <f aca="false">ROUND((((S83/(1-S94))-S83)*S$2),0)</f>
        <v>0</v>
      </c>
      <c r="T103" s="478" t="n">
        <f aca="false">ROUND((((T83/(1-T94))-T83)*T$2),0)</f>
        <v>0</v>
      </c>
      <c r="U103" s="478" t="n">
        <f aca="false">ROUND((((U83/(1-U94))-U83)*U$2),0)</f>
        <v>0</v>
      </c>
      <c r="V103" s="478" t="n">
        <f aca="false">ROUND((((V83/(1-V94))-V83)*V$2),0)</f>
        <v>0</v>
      </c>
      <c r="W103" s="478" t="n">
        <f aca="false">SUM(K103:V103)</f>
        <v>0</v>
      </c>
    </row>
    <row r="104" customFormat="false" ht="12.75" hidden="false" customHeight="true" outlineLevel="0" collapsed="false">
      <c r="J104" s="294" t="s">
        <v>489</v>
      </c>
      <c r="K104" s="478" t="n">
        <f aca="false">ROUND((((K84/(1-K95))-K84)*K$2),0)</f>
        <v>0</v>
      </c>
      <c r="L104" s="478" t="n">
        <f aca="false">ROUND((((L84/(1-L95))-L84)*L$2),0)</f>
        <v>0</v>
      </c>
      <c r="M104" s="478" t="n">
        <f aca="false">ROUND((((M84/(1-M95))-M84)*M$2),0)</f>
        <v>0</v>
      </c>
      <c r="N104" s="478" t="n">
        <f aca="false">ROUND((((N84/(1-N95))-N84)*N$2),0)</f>
        <v>0</v>
      </c>
      <c r="O104" s="478" t="n">
        <f aca="false">ROUND((((O84/(1-O95))-O84)*O$2),0)</f>
        <v>0</v>
      </c>
      <c r="P104" s="478" t="n">
        <f aca="false">ROUND((((P84/(1-P95))-P84)*P$2),0)</f>
        <v>0</v>
      </c>
      <c r="Q104" s="478" t="n">
        <f aca="false">ROUND((((Q84/(1-Q95))-Q84)*Q$2),0)</f>
        <v>0</v>
      </c>
      <c r="R104" s="478" t="n">
        <f aca="false">ROUND((((R84/(1-R95))-R84)*R$2),0)</f>
        <v>0</v>
      </c>
      <c r="S104" s="478" t="n">
        <f aca="false">ROUND((((S84/(1-S95))-S84)*S$2),0)</f>
        <v>0</v>
      </c>
      <c r="T104" s="478" t="n">
        <f aca="false">ROUND((((T84/(1-T95))-T84)*T$2),0)</f>
        <v>0</v>
      </c>
      <c r="U104" s="478" t="n">
        <f aca="false">ROUND((((U84/(1-U95))-U84)*U$2),0)</f>
        <v>0</v>
      </c>
      <c r="V104" s="478" t="n">
        <f aca="false">ROUND((((V84/(1-V95))-V84)*V$2),0)</f>
        <v>0</v>
      </c>
      <c r="W104" s="478" t="n">
        <f aca="false">SUM(K104:V104)</f>
        <v>0</v>
      </c>
    </row>
    <row r="105" customFormat="false" ht="12.75" hidden="false" customHeight="true" outlineLevel="0" collapsed="false">
      <c r="J105" s="294" t="s">
        <v>490</v>
      </c>
      <c r="K105" s="552" t="n">
        <f aca="false">SUM(K98:K104)</f>
        <v>9</v>
      </c>
      <c r="L105" s="552" t="n">
        <f aca="false">SUM(L98:L104)</f>
        <v>37</v>
      </c>
      <c r="M105" s="552" t="n">
        <f aca="false">SUM(M98:M104)</f>
        <v>41</v>
      </c>
      <c r="N105" s="552" t="n">
        <f aca="false">SUM(N98:N104)</f>
        <v>40</v>
      </c>
      <c r="O105" s="552" t="n">
        <f aca="false">SUM(O98:O104)</f>
        <v>53</v>
      </c>
      <c r="P105" s="552" t="n">
        <f aca="false">SUM(P98:P104)</f>
        <v>51</v>
      </c>
      <c r="Q105" s="552" t="n">
        <f aca="false">SUM(Q98:Q104)</f>
        <v>53</v>
      </c>
      <c r="R105" s="552" t="n">
        <f aca="false">SUM(R98:R104)</f>
        <v>53</v>
      </c>
      <c r="S105" s="552" t="n">
        <f aca="false">SUM(S98:S104)</f>
        <v>51</v>
      </c>
      <c r="T105" s="552" t="n">
        <f aca="false">SUM(T98:T104)</f>
        <v>53</v>
      </c>
      <c r="U105" s="552" t="n">
        <f aca="false">SUM(U98:U104)</f>
        <v>152</v>
      </c>
      <c r="V105" s="552" t="n">
        <f aca="false">SUM(V98:V104)</f>
        <v>158</v>
      </c>
      <c r="W105" s="552" t="n">
        <f aca="false">SUM(W98:W104)</f>
        <v>751</v>
      </c>
    </row>
    <row r="106" customFormat="false" ht="12.75" hidden="false" customHeight="true" outlineLevel="0" collapsed="false"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</row>
    <row r="107" customFormat="false" ht="12.75" hidden="false" customHeight="true" outlineLevel="0" collapsed="false">
      <c r="J107" s="294" t="s">
        <v>492</v>
      </c>
      <c r="K107" s="309" t="n">
        <f aca="false">ROUND((((K87/(1-K96))-K87)*K$2),0)</f>
        <v>0</v>
      </c>
      <c r="L107" s="309" t="n">
        <f aca="false">ROUND((((L87/(1-L96))-L87)*L$2),0)</f>
        <v>0</v>
      </c>
      <c r="M107" s="309" t="n">
        <f aca="false">ROUND((((M87/(1-M96))-M87)*M$2),0)</f>
        <v>3</v>
      </c>
      <c r="N107" s="309" t="n">
        <f aca="false">ROUND((((N87/(1-N96))-N87)*N$2),0)</f>
        <v>3</v>
      </c>
      <c r="O107" s="309" t="n">
        <f aca="false">ROUND((((O87/(1-O96))-O87)*O$2),0)</f>
        <v>3</v>
      </c>
      <c r="P107" s="309" t="n">
        <f aca="false">ROUND((((P87/(1-P96))-P87)*P$2),0)</f>
        <v>3</v>
      </c>
      <c r="Q107" s="309" t="n">
        <f aca="false">ROUND((((Q87/(1-Q96))-Q87)*Q$2),0)</f>
        <v>3</v>
      </c>
      <c r="R107" s="309" t="n">
        <f aca="false">ROUND((((R87/(1-R96))-R87)*R$2),0)</f>
        <v>3</v>
      </c>
      <c r="S107" s="309" t="n">
        <f aca="false">ROUND((((S87/(1-S96))-S87)*S$2),0)</f>
        <v>3</v>
      </c>
      <c r="T107" s="309" t="n">
        <f aca="false">ROUND((((T87/(1-T96))-T87)*T$2),0)</f>
        <v>3</v>
      </c>
      <c r="U107" s="309" t="n">
        <f aca="false">ROUND((((U87/(1-U96))-U87)*U$2),0)</f>
        <v>55</v>
      </c>
      <c r="V107" s="309" t="n">
        <f aca="false">ROUND((((V87/(1-V96))-V87)*V$2),0)</f>
        <v>57</v>
      </c>
      <c r="W107" s="309" t="n">
        <f aca="false">SUM(K107:V107)</f>
        <v>136</v>
      </c>
    </row>
    <row r="108" customFormat="false" ht="12.75" hidden="false" customHeight="true" outlineLevel="0" collapsed="false">
      <c r="J108" s="294" t="s">
        <v>493</v>
      </c>
      <c r="K108" s="556" t="n">
        <f aca="false">+K107+K105</f>
        <v>9</v>
      </c>
      <c r="L108" s="556" t="n">
        <f aca="false">+L107+L105</f>
        <v>37</v>
      </c>
      <c r="M108" s="556" t="n">
        <f aca="false">+M107+M105</f>
        <v>44</v>
      </c>
      <c r="N108" s="556" t="n">
        <f aca="false">+N107+N105</f>
        <v>43</v>
      </c>
      <c r="O108" s="556" t="n">
        <f aca="false">+O107+O105</f>
        <v>56</v>
      </c>
      <c r="P108" s="556" t="n">
        <f aca="false">+P107+P105</f>
        <v>54</v>
      </c>
      <c r="Q108" s="556" t="n">
        <f aca="false">+Q107+Q105</f>
        <v>56</v>
      </c>
      <c r="R108" s="556" t="n">
        <f aca="false">+R107+R105</f>
        <v>56</v>
      </c>
      <c r="S108" s="556" t="n">
        <f aca="false">+S107+S105</f>
        <v>54</v>
      </c>
      <c r="T108" s="556" t="n">
        <f aca="false">+T107+T105</f>
        <v>56</v>
      </c>
      <c r="U108" s="556" t="n">
        <f aca="false">+U107+U105</f>
        <v>207</v>
      </c>
      <c r="V108" s="556" t="n">
        <f aca="false">+V107+V105</f>
        <v>215</v>
      </c>
      <c r="W108" s="556" t="n">
        <f aca="false">SUM(K108:V108)</f>
        <v>887</v>
      </c>
    </row>
    <row r="109" customFormat="false" ht="12.75" hidden="false" customHeight="true" outlineLevel="0" collapsed="false"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</row>
    <row r="110" customFormat="false" ht="12.75" hidden="false" customHeight="true" outlineLevel="0" collapsed="false">
      <c r="J110" s="294" t="s">
        <v>494</v>
      </c>
      <c r="K110" s="309" t="e">
        <f aca="false">+ROUND(((K78+K79+K80+K81+K82+K87)*-K122*K$2),0)</f>
        <v>#REF!</v>
      </c>
      <c r="L110" s="309" t="e">
        <f aca="false">+ROUND(((L78+L79+L80+L81+L82+L87)*-L122*L$2),0)</f>
        <v>#REF!</v>
      </c>
      <c r="M110" s="309" t="e">
        <f aca="false">+ROUND(((M78+M79+M80+M81+M82+M87)*-M122*M$2),0)</f>
        <v>#REF!</v>
      </c>
      <c r="N110" s="309" t="e">
        <f aca="false">+ROUND(((N78+N79+N80+N81+N82+N87)*-N122*N$2),0)</f>
        <v>#REF!</v>
      </c>
      <c r="O110" s="309" t="e">
        <f aca="false">+ROUND(((O78+O79+O80+O81+O82+O87)*-O122*O$2),0)</f>
        <v>#REF!</v>
      </c>
      <c r="P110" s="309" t="e">
        <f aca="false">+ROUND(((P78+P79+P80+P81+P82+P87)*-P122*P$2),0)</f>
        <v>#REF!</v>
      </c>
      <c r="Q110" s="309" t="e">
        <f aca="false">+ROUND(((Q78+Q79+Q80+Q81+Q82+Q87)*-Q122*Q$2),0)</f>
        <v>#REF!</v>
      </c>
      <c r="R110" s="309" t="e">
        <f aca="false">+ROUND(((R78+R79+R80+R81+R82+R87)*-R122*R$2),0)</f>
        <v>#REF!</v>
      </c>
      <c r="S110" s="309" t="e">
        <f aca="false">+ROUND(((S78+S79+S80+S81+S82+S87)*-S122*S$2),0)</f>
        <v>#REF!</v>
      </c>
      <c r="T110" s="309" t="e">
        <f aca="false">+ROUND(((T78+T79+T80+T81+T82+T87)*-T122*T$2),0)</f>
        <v>#REF!</v>
      </c>
      <c r="U110" s="309" t="e">
        <f aca="false">+ROUND(((U78+U79+U80+U81+U82+U87)*-U122*U$2),0)</f>
        <v>#REF!</v>
      </c>
      <c r="V110" s="309" t="e">
        <f aca="false">+ROUND(((V78+V79+V80+V81+V82+V87)*-V122*V$2),0)</f>
        <v>#REF!</v>
      </c>
      <c r="W110" s="309" t="e">
        <f aca="false">SUM(K110:V110)</f>
        <v>#REF!</v>
      </c>
    </row>
    <row r="111" customFormat="false" ht="12.75" hidden="false" customHeight="true" outlineLevel="0" collapsed="false">
      <c r="J111" s="294" t="s">
        <v>71</v>
      </c>
      <c r="K111" s="309" t="e">
        <f aca="false">+ROUND(((K85+K87)*-K121*K76),0)</f>
        <v>#REF!</v>
      </c>
      <c r="L111" s="309" t="e">
        <f aca="false">+ROUND(((L85+L87)*-L121*L76),0)</f>
        <v>#REF!</v>
      </c>
      <c r="M111" s="309" t="e">
        <f aca="false">+ROUND(((M85+M87)*-M121*M76),0)</f>
        <v>#REF!</v>
      </c>
      <c r="N111" s="309" t="e">
        <f aca="false">+ROUND(((N85+N87)*-N121*N76),0)</f>
        <v>#REF!</v>
      </c>
      <c r="O111" s="309" t="e">
        <f aca="false">+ROUND(((O85+O87)*-O121*O76),0)</f>
        <v>#REF!</v>
      </c>
      <c r="P111" s="309" t="e">
        <f aca="false">+ROUND(((P85+P87)*-P121*P76),0)</f>
        <v>#REF!</v>
      </c>
      <c r="Q111" s="309" t="e">
        <f aca="false">+ROUND(((Q85+Q87)*-Q121*Q76),0)</f>
        <v>#REF!</v>
      </c>
      <c r="R111" s="309" t="e">
        <f aca="false">+ROUND(((R85+R87)*-R121*R76),0)</f>
        <v>#REF!</v>
      </c>
      <c r="S111" s="309" t="e">
        <f aca="false">+ROUND(((S85+S87)*-S121*S76),0)</f>
        <v>#REF!</v>
      </c>
      <c r="T111" s="309" t="e">
        <f aca="false">+ROUND(((T85+T87)*-T121*T76),0)</f>
        <v>#REF!</v>
      </c>
      <c r="U111" s="309" t="e">
        <f aca="false">+ROUND(((U85+U87)*-U121*U76),0)</f>
        <v>#REF!</v>
      </c>
      <c r="V111" s="309" t="e">
        <f aca="false">+ROUND(((V85+V87)*-V121*V76),0)</f>
        <v>#REF!</v>
      </c>
      <c r="W111" s="309" t="e">
        <f aca="false">SUM(K111:V111)</f>
        <v>#REF!</v>
      </c>
    </row>
    <row r="113" customFormat="false" ht="12.75" hidden="false" customHeight="true" outlineLevel="0" collapsed="false">
      <c r="J113" s="294" t="s">
        <v>276</v>
      </c>
      <c r="K113" s="313" t="e">
        <f aca="false">ROUND((K108*K120),0)</f>
        <v>#REF!</v>
      </c>
      <c r="L113" s="313" t="e">
        <f aca="false">ROUND((L108*L120),0)</f>
        <v>#REF!</v>
      </c>
      <c r="M113" s="313" t="e">
        <f aca="false">ROUND((M108*M120),0)</f>
        <v>#REF!</v>
      </c>
      <c r="N113" s="313" t="e">
        <f aca="false">ROUND((N108*N120),0)</f>
        <v>#REF!</v>
      </c>
      <c r="O113" s="313" t="e">
        <f aca="false">ROUND((O108*O120),0)</f>
        <v>#REF!</v>
      </c>
      <c r="P113" s="313" t="e">
        <f aca="false">ROUND((P108*P120),0)</f>
        <v>#REF!</v>
      </c>
      <c r="Q113" s="313" t="e">
        <f aca="false">ROUND((Q108*Q120),0)</f>
        <v>#REF!</v>
      </c>
      <c r="R113" s="313" t="e">
        <f aca="false">ROUND((R108*R120),0)</f>
        <v>#REF!</v>
      </c>
      <c r="S113" s="313" t="e">
        <f aca="false">ROUND((S108*S120),0)</f>
        <v>#REF!</v>
      </c>
      <c r="T113" s="313" t="e">
        <f aca="false">ROUND((T108*T120),0)</f>
        <v>#REF!</v>
      </c>
      <c r="U113" s="313" t="e">
        <f aca="false">ROUND((U108*U120),0)</f>
        <v>#REF!</v>
      </c>
      <c r="V113" s="313" t="e">
        <f aca="false">ROUND((V108*V120),0)</f>
        <v>#REF!</v>
      </c>
      <c r="W113" s="313" t="e">
        <f aca="false">SUM(K113:V113)</f>
        <v>#REF!</v>
      </c>
    </row>
    <row r="114" customFormat="false" ht="12.75" hidden="false" customHeight="true" outlineLevel="0" collapsed="false"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 t="n">
        <f aca="false">SUM(K114:V114)</f>
        <v>0</v>
      </c>
    </row>
    <row r="115" customFormat="false" ht="12.75" hidden="false" customHeight="true" outlineLevel="0" collapsed="false">
      <c r="J115" s="294" t="s">
        <v>279</v>
      </c>
      <c r="K115" s="313" t="e">
        <f aca="false">ROUND((K110*K120),0)</f>
        <v>#REF!</v>
      </c>
      <c r="L115" s="313" t="e">
        <f aca="false">ROUND((L110*L120),0)</f>
        <v>#REF!</v>
      </c>
      <c r="M115" s="313" t="e">
        <f aca="false">ROUND((M110*M120),0)</f>
        <v>#REF!</v>
      </c>
      <c r="N115" s="313" t="e">
        <f aca="false">ROUND((N110*N120),0)</f>
        <v>#REF!</v>
      </c>
      <c r="O115" s="313" t="e">
        <f aca="false">ROUND((O110*O120),0)</f>
        <v>#REF!</v>
      </c>
      <c r="P115" s="313" t="e">
        <f aca="false">ROUND((P110*P120),0)</f>
        <v>#REF!</v>
      </c>
      <c r="Q115" s="313" t="e">
        <f aca="false">ROUND((Q110*Q120),0)</f>
        <v>#REF!</v>
      </c>
      <c r="R115" s="313" t="e">
        <f aca="false">ROUND((R110*R120),0)</f>
        <v>#REF!</v>
      </c>
      <c r="S115" s="313" t="e">
        <f aca="false">ROUND((S110*S120),0)</f>
        <v>#REF!</v>
      </c>
      <c r="T115" s="313" t="e">
        <f aca="false">ROUND((T110*T120),0)</f>
        <v>#REF!</v>
      </c>
      <c r="U115" s="313" t="e">
        <f aca="false">ROUND((U110*U120),0)</f>
        <v>#REF!</v>
      </c>
      <c r="V115" s="313" t="e">
        <f aca="false">ROUND((V110*V120),0)</f>
        <v>#REF!</v>
      </c>
      <c r="W115" s="313" t="e">
        <f aca="false">SUM(K115:V115)</f>
        <v>#REF!</v>
      </c>
    </row>
    <row r="116" customFormat="false" ht="12.75" hidden="false" customHeight="true" outlineLevel="0" collapsed="false">
      <c r="J116" s="294" t="s">
        <v>495</v>
      </c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 t="n">
        <f aca="false">SUM(K116:V116)</f>
        <v>0</v>
      </c>
    </row>
    <row r="117" customFormat="false" ht="12.75" hidden="false" customHeight="true" outlineLevel="0" collapsed="false">
      <c r="J117" s="294" t="s">
        <v>496</v>
      </c>
      <c r="K117" s="313" t="e">
        <f aca="false">ROUND((K111*K120),0)</f>
        <v>#REF!</v>
      </c>
      <c r="L117" s="313" t="e">
        <f aca="false">ROUND((L111*L120),0)</f>
        <v>#REF!</v>
      </c>
      <c r="M117" s="313" t="e">
        <f aca="false">ROUND((M111*M120),0)</f>
        <v>#REF!</v>
      </c>
      <c r="N117" s="313" t="e">
        <f aca="false">ROUND((N111*N120),0)</f>
        <v>#REF!</v>
      </c>
      <c r="O117" s="313" t="e">
        <f aca="false">ROUND((O111*O120),0)</f>
        <v>#REF!</v>
      </c>
      <c r="P117" s="313" t="e">
        <f aca="false">ROUND((P111*P120),0)</f>
        <v>#REF!</v>
      </c>
      <c r="Q117" s="313" t="e">
        <f aca="false">ROUND((Q111*Q120),0)</f>
        <v>#REF!</v>
      </c>
      <c r="R117" s="313" t="e">
        <f aca="false">ROUND((R111*R120),0)</f>
        <v>#REF!</v>
      </c>
      <c r="S117" s="313" t="e">
        <f aca="false">ROUND((S111*S120),0)</f>
        <v>#REF!</v>
      </c>
      <c r="T117" s="313" t="e">
        <f aca="false">ROUND((T111*T120),0)</f>
        <v>#REF!</v>
      </c>
      <c r="U117" s="313" t="e">
        <f aca="false">ROUND((U111*U120),0)</f>
        <v>#REF!</v>
      </c>
      <c r="V117" s="313" t="e">
        <f aca="false">ROUND((V111*V120),0)</f>
        <v>#REF!</v>
      </c>
      <c r="W117" s="313" t="e">
        <f aca="false">SUM(K117:V117)</f>
        <v>#REF!</v>
      </c>
    </row>
    <row r="118" customFormat="false" ht="12.75" hidden="false" customHeight="true" outlineLevel="0" collapsed="false">
      <c r="J118" s="294" t="s">
        <v>283</v>
      </c>
      <c r="K118" s="317" t="e">
        <f aca="false">SUM(K113:K117)</f>
        <v>#REF!</v>
      </c>
      <c r="L118" s="317" t="e">
        <f aca="false">SUM(L113:L117)</f>
        <v>#REF!</v>
      </c>
      <c r="M118" s="317" t="e">
        <f aca="false">SUM(M113:M117)</f>
        <v>#REF!</v>
      </c>
      <c r="N118" s="317" t="e">
        <f aca="false">SUM(N113:N117)</f>
        <v>#REF!</v>
      </c>
      <c r="O118" s="317" t="e">
        <f aca="false">SUM(O113:O117)</f>
        <v>#REF!</v>
      </c>
      <c r="P118" s="317" t="e">
        <f aca="false">SUM(P113:P117)</f>
        <v>#REF!</v>
      </c>
      <c r="Q118" s="317" t="e">
        <f aca="false">SUM(Q113:Q117)</f>
        <v>#REF!</v>
      </c>
      <c r="R118" s="317" t="e">
        <f aca="false">SUM(R113:R117)</f>
        <v>#REF!</v>
      </c>
      <c r="S118" s="317" t="e">
        <f aca="false">SUM(S113:S117)</f>
        <v>#REF!</v>
      </c>
      <c r="T118" s="317" t="e">
        <f aca="false">SUM(T113:T117)</f>
        <v>#REF!</v>
      </c>
      <c r="U118" s="317" t="e">
        <f aca="false">SUM(U113:U117)</f>
        <v>#REF!</v>
      </c>
      <c r="V118" s="317" t="e">
        <f aca="false">SUM(V113:V117)</f>
        <v>#REF!</v>
      </c>
      <c r="W118" s="317" t="e">
        <f aca="false">SUM(K118:V118)</f>
        <v>#REF!</v>
      </c>
    </row>
    <row r="120" customFormat="false" ht="12.75" hidden="false" customHeight="true" outlineLevel="0" collapsed="false">
      <c r="J120" s="319" t="s">
        <v>297</v>
      </c>
      <c r="K120" s="319" t="e">
        <f aca="false">#REF!</f>
        <v>#REF!</v>
      </c>
      <c r="L120" s="319" t="e">
        <f aca="false">#REF!</f>
        <v>#REF!</v>
      </c>
      <c r="M120" s="319" t="e">
        <f aca="false">#REF!</f>
        <v>#REF!</v>
      </c>
      <c r="N120" s="319" t="e">
        <f aca="false">#REF!</f>
        <v>#REF!</v>
      </c>
      <c r="O120" s="319" t="e">
        <f aca="false">#REF!</f>
        <v>#REF!</v>
      </c>
      <c r="P120" s="319" t="e">
        <f aca="false">#REF!</f>
        <v>#REF!</v>
      </c>
      <c r="Q120" s="319" t="e">
        <f aca="false">#REF!</f>
        <v>#REF!</v>
      </c>
      <c r="R120" s="319" t="e">
        <f aca="false">#REF!</f>
        <v>#REF!</v>
      </c>
      <c r="S120" s="319" t="e">
        <f aca="false">#REF!</f>
        <v>#REF!</v>
      </c>
      <c r="T120" s="319" t="e">
        <f aca="false">#REF!</f>
        <v>#REF!</v>
      </c>
      <c r="U120" s="319" t="e">
        <f aca="false">#REF!</f>
        <v>#REF!</v>
      </c>
      <c r="V120" s="319" t="e">
        <f aca="false">#REF!</f>
        <v>#REF!</v>
      </c>
      <c r="W120" s="319" t="e">
        <f aca="false">#REF!</f>
        <v>#REF!</v>
      </c>
    </row>
    <row r="121" customFormat="false" ht="12.75" hidden="false" customHeight="true" outlineLevel="0" collapsed="false">
      <c r="J121" s="321" t="s">
        <v>497</v>
      </c>
      <c r="K121" s="557" t="e">
        <f aca="false">#REF!</f>
        <v>#REF!</v>
      </c>
      <c r="L121" s="557" t="e">
        <f aca="false">#REF!</f>
        <v>#REF!</v>
      </c>
      <c r="M121" s="557" t="e">
        <f aca="false">#REF!</f>
        <v>#REF!</v>
      </c>
      <c r="N121" s="557" t="e">
        <f aca="false">#REF!</f>
        <v>#REF!</v>
      </c>
      <c r="O121" s="557" t="e">
        <f aca="false">#REF!</f>
        <v>#REF!</v>
      </c>
      <c r="P121" s="557" t="e">
        <f aca="false">#REF!</f>
        <v>#REF!</v>
      </c>
      <c r="Q121" s="557" t="e">
        <f aca="false">#REF!</f>
        <v>#REF!</v>
      </c>
      <c r="R121" s="557" t="e">
        <f aca="false">#REF!</f>
        <v>#REF!</v>
      </c>
      <c r="S121" s="557" t="e">
        <f aca="false">#REF!</f>
        <v>#REF!</v>
      </c>
      <c r="T121" s="557" t="e">
        <f aca="false">#REF!</f>
        <v>#REF!</v>
      </c>
      <c r="U121" s="557" t="e">
        <f aca="false">#REF!</f>
        <v>#REF!</v>
      </c>
      <c r="V121" s="557" t="e">
        <f aca="false">#REF!</f>
        <v>#REF!</v>
      </c>
      <c r="W121" s="557" t="e">
        <f aca="false">#REF!</f>
        <v>#REF!</v>
      </c>
    </row>
    <row r="122" customFormat="false" ht="12.75" hidden="false" customHeight="true" outlineLevel="0" collapsed="false">
      <c r="J122" s="321" t="s">
        <v>498</v>
      </c>
      <c r="K122" s="557" t="e">
        <f aca="false">#REF!</f>
        <v>#REF!</v>
      </c>
      <c r="L122" s="557" t="e">
        <f aca="false">#REF!</f>
        <v>#REF!</v>
      </c>
      <c r="M122" s="557" t="e">
        <f aca="false">#REF!</f>
        <v>#REF!</v>
      </c>
      <c r="N122" s="557" t="e">
        <f aca="false">#REF!</f>
        <v>#REF!</v>
      </c>
      <c r="O122" s="557" t="e">
        <f aca="false">#REF!</f>
        <v>#REF!</v>
      </c>
      <c r="P122" s="557" t="e">
        <f aca="false">#REF!</f>
        <v>#REF!</v>
      </c>
      <c r="Q122" s="557" t="e">
        <f aca="false">#REF!</f>
        <v>#REF!</v>
      </c>
      <c r="R122" s="557" t="e">
        <f aca="false">#REF!</f>
        <v>#REF!</v>
      </c>
      <c r="S122" s="557" t="e">
        <f aca="false">#REF!</f>
        <v>#REF!</v>
      </c>
      <c r="T122" s="557" t="e">
        <f aca="false">#REF!</f>
        <v>#REF!</v>
      </c>
      <c r="U122" s="557" t="e">
        <f aca="false">#REF!</f>
        <v>#REF!</v>
      </c>
      <c r="V122" s="557" t="e">
        <f aca="false">#REF!</f>
        <v>#REF!</v>
      </c>
      <c r="W122" s="557" t="e">
        <f aca="false">#REF!</f>
        <v>#REF!</v>
      </c>
    </row>
  </sheetData>
  <printOptions headings="false" gridLines="false" gridLinesSet="true" horizontalCentered="true" verticalCentered="false"/>
  <pageMargins left="0.5" right="0.5" top="0.5" bottom="0.5" header="0.511811023622047" footer="0.2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&amp;LTwfin/2001/Plan/&amp;F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2001-09-27T12:28:38Z</cp:lastPrinted>
  <dcterms:modified xsi:type="dcterms:W3CDTF">2001-10-02T15:38:38Z</dcterms:modified>
  <cp:revision>0</cp:revision>
  <dc:subject/>
  <dc:title>1996 SALES WORKBOOK</dc:title>
</cp:coreProperties>
</file>