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X and ISO Outstanding Exposure" sheetId="1" state="visible" r:id="rId3"/>
    <sheet name="Outst EPMI Collateral to PX" sheetId="2" state="visible" r:id="rId4"/>
  </sheets>
  <definedNames>
    <definedName function="false" hidden="false" localSheetId="0" name="_xlnm.Print_Area" vbProcedure="false">'PX and ISO Outstanding Exposure'!$1:$65536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<sst xmlns="http://schemas.openxmlformats.org/spreadsheetml/2006/main" count="142" uniqueCount="96">
  <si>
    <t xml:space="preserve">RAC - Risk Assessment &amp; Control</t>
  </si>
  <si>
    <t xml:space="preserve">Updated California PX and ISO Exposure (as of 3/9/01)</t>
  </si>
  <si>
    <t xml:space="preserve">Counterparty:  The California Independent System Operator (CAISO)</t>
  </si>
  <si>
    <t xml:space="preserve">Enron Power Marketing, Inc.</t>
  </si>
  <si>
    <t xml:space="preserve">Portland General Company</t>
  </si>
  <si>
    <t xml:space="preserve">Activity Month</t>
  </si>
  <si>
    <t xml:space="preserve">Description</t>
  </si>
  <si>
    <t xml:space="preserve">Net Revenue</t>
  </si>
  <si>
    <t xml:space="preserve">(Net Expense)</t>
  </si>
  <si>
    <t xml:space="preserve">Real Time Transmission and Grid Mgmt</t>
  </si>
  <si>
    <t xml:space="preserve">(EPMI paid by ISO 2/5/2001 and PGE paid by ISO 2/8/01)</t>
  </si>
  <si>
    <t xml:space="preserve">(EPMI paid by ISO 2/13/2001 and PGE paid by ISO 2/14/01)</t>
  </si>
  <si>
    <t xml:space="preserve">(due EPMI and PGE)</t>
  </si>
  <si>
    <t xml:space="preserve">*</t>
  </si>
  <si>
    <t xml:space="preserve">(includes $7,599,600 of Mandated Sales per Richardson order)</t>
  </si>
  <si>
    <t xml:space="preserve">(EPMI paid ISO 3/5/01 and PGE partially paid by ISO 3/8/01)</t>
  </si>
  <si>
    <t xml:space="preserve">(due PGE)</t>
  </si>
  <si>
    <t xml:space="preserve">(not yet billed)</t>
  </si>
  <si>
    <t xml:space="preserve">(all Mandated Sales per Richardson order)</t>
  </si>
  <si>
    <t xml:space="preserve">Counterparty:  The California Power Exchange Corporation (CA PX)</t>
  </si>
  <si>
    <t xml:space="preserve">Real Time Default Share Invoice (SCE Default)</t>
  </si>
  <si>
    <t xml:space="preserve">(shortpaid to EPMI and PGE had to pay)</t>
  </si>
  <si>
    <t xml:space="preserve">Real Time</t>
  </si>
  <si>
    <t xml:space="preserve">Real Time Default Share Invoice</t>
  </si>
  <si>
    <t xml:space="preserve">(shortpaid to PGE)</t>
  </si>
  <si>
    <t xml:space="preserve">**</t>
  </si>
  <si>
    <t xml:space="preserve">(billed to EPMI - not yet paid)</t>
  </si>
  <si>
    <t xml:space="preserve">($17,846,030.82)**</t>
  </si>
  <si>
    <t xml:space="preserve">(3/2/01 EPMI asked PX via letter to draw down from cash in Escrow - no written confirm received from PX to date)</t>
  </si>
  <si>
    <t xml:space="preserve">(assumed by EPMI as paid)</t>
  </si>
  <si>
    <t xml:space="preserve">CORE (Day Ahead/Day Of)</t>
  </si>
  <si>
    <t xml:space="preserve">(received from PX 1/18/2001)</t>
  </si>
  <si>
    <t xml:space="preserve">(received from PX 1/30/2001)</t>
  </si>
  <si>
    <t xml:space="preserve">(PX applied to PGE's DEC ancillaries bill)</t>
  </si>
  <si>
    <t xml:space="preserve">(shortpaid to EPMI)</t>
  </si>
  <si>
    <t xml:space="preserve">(to be recovered/due Enron)</t>
  </si>
  <si>
    <t xml:space="preserve">***</t>
  </si>
  <si>
    <t xml:space="preserve">Block Forward</t>
  </si>
  <si>
    <t xml:space="preserve">DETAILS TO ABOVE:</t>
  </si>
  <si>
    <t xml:space="preserve">CA ISO</t>
  </si>
  <si>
    <t xml:space="preserve">*Nov-00 Real Time Default attributed from CA PX (99.93%) and Pacific Gas &amp; Electric (0.069%)</t>
  </si>
  <si>
    <t xml:space="preserve">CA PX details to be further provided to reflect 99.93% default</t>
  </si>
  <si>
    <t xml:space="preserve">CA PX</t>
  </si>
  <si>
    <t xml:space="preserve">**Nov-00 Real Time Default Share Invoice</t>
  </si>
  <si>
    <r>
      <rPr>
        <b val="true"/>
        <sz val="10"/>
        <rFont val="Arial"/>
        <family val="2"/>
      </rPr>
      <t xml:space="preserve">EPMI's Share of Defaults from CP's</t>
    </r>
    <r>
      <rPr>
        <b val="true"/>
        <i val="true"/>
        <sz val="10"/>
        <rFont val="Arial"/>
        <family val="2"/>
      </rPr>
      <t xml:space="preserve"> (if FERC determines that EPMI must pay chargeback):</t>
    </r>
  </si>
  <si>
    <t xml:space="preserve">PGE's Share of Defaults from:</t>
  </si>
  <si>
    <t xml:space="preserve">SoCal Ed</t>
  </si>
  <si>
    <t xml:space="preserve">PG&amp;E</t>
  </si>
  <si>
    <t xml:space="preserve">BPA</t>
  </si>
  <si>
    <t xml:space="preserve">Sierra Pacific Industries</t>
  </si>
  <si>
    <t xml:space="preserve">Salt River Project</t>
  </si>
  <si>
    <t xml:space="preserve">WAPA</t>
  </si>
  <si>
    <t xml:space="preserve">***Dec-00 CORE Default Share Invoice (SCE Default)</t>
  </si>
  <si>
    <t xml:space="preserve">(shortpaid)</t>
  </si>
  <si>
    <t xml:space="preserve">***Dec-00 CORE Default Share Invoice (add'l from SCE Default)</t>
  </si>
  <si>
    <t xml:space="preserve">***Remainder due to EPMI (in addition to shortpay of $172,172.76):</t>
  </si>
  <si>
    <t xml:space="preserve">(due EPMI)</t>
  </si>
  <si>
    <t xml:space="preserve">Outstanding Cash and Letters of Credit Currently Issued by EPMI in favor of CA Power Exchange Corp. / CalPX Trading Services, a div. Of CAPX</t>
  </si>
  <si>
    <t xml:space="preserve">(currently held in Escrow Account)</t>
  </si>
  <si>
    <t xml:space="preserve">CORE MARKET (DAY OF/DAY AHEAD)</t>
  </si>
  <si>
    <t xml:space="preserve">Collateral Form (Cash or L/C No.)</t>
  </si>
  <si>
    <t xml:space="preserve">Beneficiary</t>
  </si>
  <si>
    <t xml:space="preserve">Issuing/Receiving Bank</t>
  </si>
  <si>
    <t xml:space="preserve">L/C Amount</t>
  </si>
  <si>
    <t xml:space="preserve">L/C Expiry</t>
  </si>
  <si>
    <t xml:space="preserve">CASH (request on 1/16/01 in by 6:30am 1/17/01)</t>
  </si>
  <si>
    <t xml:space="preserve">The California Power Exchange Corp.</t>
  </si>
  <si>
    <t xml:space="preserve">Bank of America</t>
  </si>
  <si>
    <t xml:space="preserve">(aba121000358)</t>
  </si>
  <si>
    <t xml:space="preserve">(acct no1233427058)</t>
  </si>
  <si>
    <t xml:space="preserve">Total in Cash</t>
  </si>
  <si>
    <t xml:space="preserve">(1) LETTER OF CREDIT:</t>
  </si>
  <si>
    <t xml:space="preserve">G390148</t>
  </si>
  <si>
    <t xml:space="preserve">Toronto-Dominion</t>
  </si>
  <si>
    <t xml:space="preserve">Total in Letter of Credit</t>
  </si>
  <si>
    <t xml:space="preserve">Letter Agreement</t>
  </si>
  <si>
    <t xml:space="preserve">TOTAL FOR CORE MARKET</t>
  </si>
  <si>
    <t xml:space="preserve">=====&gt;</t>
  </si>
  <si>
    <t xml:space="preserve">CTS MARKET (BLOCK FORWARD)</t>
  </si>
  <si>
    <t xml:space="preserve">Issuing Bank</t>
  </si>
  <si>
    <t xml:space="preserve">Cash (drawn off of Letters of Credit as of 2/1/01)</t>
  </si>
  <si>
    <t xml:space="preserve">Previous L/C No. 3016973</t>
  </si>
  <si>
    <t xml:space="preserve">CalPX Trading Services</t>
  </si>
  <si>
    <t xml:space="preserve">drawn from Bank of America</t>
  </si>
  <si>
    <t xml:space="preserve">Previous L/C No. 870-123057</t>
  </si>
  <si>
    <t xml:space="preserve">drawn from Wachovia</t>
  </si>
  <si>
    <t xml:space="preserve">Previous L/C No. S9702574</t>
  </si>
  <si>
    <t xml:space="preserve">drawn from Standard Charter</t>
  </si>
  <si>
    <t xml:space="preserve">(3) LETTERS OF CREDIT:</t>
  </si>
  <si>
    <t xml:space="preserve">5060/820</t>
  </si>
  <si>
    <t xml:space="preserve">ANZ Investment</t>
  </si>
  <si>
    <t xml:space="preserve">SLC0000126</t>
  </si>
  <si>
    <t xml:space="preserve">UniCredito Italiano</t>
  </si>
  <si>
    <t xml:space="preserve">Total in Letters of Credit</t>
  </si>
  <si>
    <t xml:space="preserve">Total for Block FW</t>
  </si>
  <si>
    <t xml:space="preserve">TOTAL POSTED COLLATERAL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</si>
</sst>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-yy"/>
    <numFmt numFmtId="166" formatCode="_(\$* #,##0.00_);_(\$* \(#,##0.00\);_(\$* \-??_);_(@_)"/>
    <numFmt numFmtId="167" formatCode="\$#,##0.00_);[RED]&quot;($&quot;#,##0.00\)"/>
    <numFmt numFmtId="168" formatCode="[$-409]m/d/yyyy"/>
    <numFmt numFmtId="169" formatCode="_(\$* #,##0_);_(\$* \(#,##0\);_(\$* \-??_);_(@_)"/>
    <numFmt numFmtId="170" formatCode="\$#,##0_);[RED]&quot;($&quot;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7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7"/>
      <name val="Arial"/>
      <family val="2"/>
    </font>
    <font>
      <sz val="8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5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5" fillId="5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1157040</xdr:colOff>
      <xdr:row>27</xdr:row>
      <xdr:rowOff>152280</xdr:rowOff>
    </xdr:from>
    <xdr:to>
      <xdr:col>4</xdr:col>
      <xdr:colOff>485280</xdr:colOff>
      <xdr:row>41</xdr:row>
      <xdr:rowOff>9360</xdr:rowOff>
    </xdr:to>
    <xdr:sp>
      <xdr:nvSpPr>
        <xdr:cNvPr id="0" name="AutoShape 1"/>
        <xdr:cNvSpPr/>
      </xdr:nvSpPr>
      <xdr:spPr>
        <a:xfrm>
          <a:off x="8474760" y="4657680"/>
          <a:ext cx="536040" cy="2143080"/>
        </a:xfrm>
        <a:custGeom>
          <a:avLst/>
          <a:gdLst/>
          <a:ahLst/>
          <a:rect l="l" t="t" r="r" b="b"/>
          <a:pathLst>
            <a:path w="50" h="216">
              <a:moveTo>
                <a:pt x="0" y="216"/>
              </a:moveTo>
              <a:lnTo>
                <a:pt x="5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0" width="48.41"/>
    <col collapsed="false" customWidth="true" hidden="false" outlineLevel="0" max="3" min="3" style="2" width="34.85"/>
    <col collapsed="false" customWidth="true" hidden="false" outlineLevel="0" max="4" min="4" style="3" width="17.14"/>
    <col collapsed="false" customWidth="true" hidden="false" outlineLevel="0" max="5" min="5" style="3" width="21.56"/>
    <col collapsed="false" customWidth="true" hidden="false" outlineLevel="0" max="6" min="6" style="3" width="2.13"/>
    <col collapsed="false" customWidth="true" hidden="false" outlineLevel="0" max="7" min="7" style="3" width="16.56"/>
    <col collapsed="false" customWidth="true" hidden="false" outlineLevel="0" max="8" min="8" style="3" width="25.13"/>
    <col collapsed="false" customWidth="true" hidden="false" outlineLevel="0" max="9" min="9" style="0" width="3.7"/>
    <col collapsed="false" customWidth="true" hidden="false" outlineLevel="0" max="10" min="10" style="0" width="18.41"/>
  </cols>
  <sheetData>
    <row r="1" customFormat="false" ht="15" hidden="false" customHeight="false" outlineLevel="0" collapsed="false">
      <c r="A1" s="4" t="s">
        <v>0</v>
      </c>
      <c r="B1" s="5"/>
      <c r="C1" s="6"/>
      <c r="D1" s="7"/>
      <c r="E1" s="7"/>
      <c r="F1" s="7"/>
      <c r="G1" s="7"/>
      <c r="H1" s="7"/>
      <c r="I1" s="5"/>
      <c r="J1" s="5"/>
    </row>
    <row r="2" customFormat="false" ht="15" hidden="false" customHeight="false" outlineLevel="0" collapsed="false">
      <c r="A2" s="4" t="s">
        <v>1</v>
      </c>
      <c r="B2" s="5"/>
      <c r="C2" s="6"/>
      <c r="D2" s="7"/>
      <c r="E2" s="7"/>
      <c r="F2" s="7"/>
      <c r="G2" s="7"/>
      <c r="H2" s="7"/>
      <c r="I2" s="5"/>
      <c r="J2" s="5"/>
    </row>
    <row r="4" customFormat="false" ht="12.75" hidden="false" customHeight="false" outlineLevel="0" collapsed="false">
      <c r="A4" s="8" t="s">
        <v>2</v>
      </c>
      <c r="B4" s="9"/>
      <c r="C4" s="10"/>
      <c r="D4" s="11"/>
      <c r="E4" s="11"/>
      <c r="F4" s="11"/>
      <c r="G4" s="11"/>
      <c r="H4" s="11"/>
      <c r="I4" s="9"/>
      <c r="J4" s="9"/>
    </row>
    <row r="5" customFormat="false" ht="13.5" hidden="false" customHeight="false" outlineLevel="0" collapsed="false">
      <c r="A5" s="12"/>
      <c r="B5" s="13"/>
      <c r="C5" s="14"/>
    </row>
    <row r="6" customFormat="false" ht="12.75" hidden="false" customHeight="false" outlineLevel="0" collapsed="false">
      <c r="A6" s="15"/>
      <c r="B6" s="16"/>
      <c r="C6" s="17"/>
      <c r="D6" s="18" t="s">
        <v>3</v>
      </c>
      <c r="E6" s="18"/>
      <c r="F6" s="19"/>
      <c r="G6" s="18" t="s">
        <v>4</v>
      </c>
      <c r="H6" s="18"/>
      <c r="I6" s="16"/>
      <c r="J6" s="20"/>
    </row>
    <row r="7" customFormat="false" ht="13.5" hidden="false" customHeight="false" outlineLevel="0" collapsed="false">
      <c r="A7" s="21" t="s">
        <v>5</v>
      </c>
      <c r="B7" s="22" t="s">
        <v>6</v>
      </c>
      <c r="C7" s="23"/>
      <c r="D7" s="24" t="s">
        <v>7</v>
      </c>
      <c r="E7" s="24" t="s">
        <v>8</v>
      </c>
      <c r="F7" s="25"/>
      <c r="G7" s="24" t="s">
        <v>7</v>
      </c>
      <c r="H7" s="24" t="s">
        <v>8</v>
      </c>
      <c r="I7" s="26"/>
      <c r="J7" s="27"/>
    </row>
    <row r="8" customFormat="false" ht="12.75" hidden="false" customHeight="false" outlineLevel="0" collapsed="false">
      <c r="F8" s="28"/>
    </row>
    <row r="9" customFormat="false" ht="12.75" hidden="false" customHeight="false" outlineLevel="0" collapsed="false">
      <c r="A9" s="1" t="n">
        <v>36831</v>
      </c>
      <c r="B9" s="0" t="s">
        <v>9</v>
      </c>
      <c r="D9" s="3" t="n">
        <v>54974349</v>
      </c>
      <c r="F9" s="28"/>
      <c r="G9" s="29" t="n">
        <f aca="false">19612+5000+8078564.87+136040.25+0.04</f>
        <v>8239217.16</v>
      </c>
    </row>
    <row r="10" customFormat="false" ht="12.75" hidden="false" customHeight="false" outlineLevel="0" collapsed="false">
      <c r="B10" s="30"/>
      <c r="C10" s="31" t="s">
        <v>10</v>
      </c>
      <c r="D10" s="3" t="n">
        <v>-1016625</v>
      </c>
      <c r="F10" s="28"/>
      <c r="G10" s="3" t="n">
        <f aca="false">-150637.41</f>
        <v>-150637.41</v>
      </c>
    </row>
    <row r="11" customFormat="false" ht="12.75" hidden="false" customHeight="false" outlineLevel="0" collapsed="false">
      <c r="B11" s="30"/>
      <c r="C11" s="31" t="s">
        <v>11</v>
      </c>
      <c r="D11" s="3" t="n">
        <v>-12453330</v>
      </c>
      <c r="F11" s="28"/>
      <c r="G11" s="3" t="n">
        <f aca="false">-1845258.45</f>
        <v>-1845258.45</v>
      </c>
    </row>
    <row r="12" customFormat="false" ht="13.5" hidden="false" customHeight="false" outlineLevel="0" collapsed="false">
      <c r="C12" s="2" t="s">
        <v>12</v>
      </c>
      <c r="D12" s="32" t="n">
        <f aca="false">D9+D10+D11</f>
        <v>41504394</v>
      </c>
      <c r="E12" s="3" t="s">
        <v>13</v>
      </c>
      <c r="F12" s="28"/>
      <c r="G12" s="33" t="n">
        <f aca="false">SUM(G9:G11)</f>
        <v>6243321.3</v>
      </c>
      <c r="H12" s="3" t="s">
        <v>13</v>
      </c>
    </row>
    <row r="13" customFormat="false" ht="13.5" hidden="false" customHeight="false" outlineLevel="0" collapsed="false">
      <c r="F13" s="28"/>
    </row>
    <row r="14" customFormat="false" ht="12.75" hidden="false" customHeight="false" outlineLevel="0" collapsed="false">
      <c r="A14" s="1" t="n">
        <v>36861</v>
      </c>
      <c r="B14" s="0" t="s">
        <v>9</v>
      </c>
      <c r="E14" s="34" t="n">
        <f aca="false">-22813756.13</f>
        <v>-22813756.13</v>
      </c>
      <c r="F14" s="28"/>
      <c r="G14" s="34" t="n">
        <f aca="false">45196421-1017536</f>
        <v>44178885</v>
      </c>
      <c r="H14" s="35" t="s">
        <v>14</v>
      </c>
    </row>
    <row r="15" customFormat="false" ht="12.75" hidden="false" customHeight="false" outlineLevel="0" collapsed="false">
      <c r="C15" s="2" t="s">
        <v>15</v>
      </c>
      <c r="E15" s="34" t="n">
        <f aca="false">22250084.08+563672.05</f>
        <v>22813756.13</v>
      </c>
      <c r="F15" s="28"/>
      <c r="G15" s="34" t="n">
        <f aca="false">-1315304.52</f>
        <v>-1315304.52</v>
      </c>
      <c r="H15" s="35"/>
    </row>
    <row r="16" customFormat="false" ht="13.5" hidden="false" customHeight="false" outlineLevel="0" collapsed="false">
      <c r="C16" s="2" t="s">
        <v>16</v>
      </c>
      <c r="E16" s="32" t="n">
        <f aca="false">E14+E15</f>
        <v>0</v>
      </c>
      <c r="F16" s="28"/>
      <c r="G16" s="32" t="n">
        <f aca="false">G14+G15</f>
        <v>42863580.48</v>
      </c>
      <c r="H16" s="35"/>
    </row>
    <row r="17" customFormat="false" ht="13.5" hidden="false" customHeight="false" outlineLevel="0" collapsed="false">
      <c r="F17" s="28"/>
      <c r="G17" s="34"/>
    </row>
    <row r="18" customFormat="false" ht="12.75" hidden="false" customHeight="false" outlineLevel="0" collapsed="false">
      <c r="A18" s="1" t="n">
        <v>36892</v>
      </c>
      <c r="B18" s="0" t="s">
        <v>9</v>
      </c>
      <c r="C18" s="2" t="s">
        <v>17</v>
      </c>
      <c r="E18" s="34" t="n">
        <v>-12128192.17</v>
      </c>
      <c r="F18" s="28"/>
      <c r="G18" s="34" t="n">
        <v>10737043</v>
      </c>
      <c r="H18" s="35" t="s">
        <v>18</v>
      </c>
    </row>
    <row r="19" customFormat="false" ht="12.75" hidden="false" customHeight="false" outlineLevel="0" collapsed="false">
      <c r="F19" s="28"/>
      <c r="G19" s="34"/>
    </row>
    <row r="20" customFormat="false" ht="12.75" hidden="false" customHeight="false" outlineLevel="0" collapsed="false">
      <c r="A20" s="1" t="n">
        <v>36923</v>
      </c>
      <c r="B20" s="0" t="s">
        <v>9</v>
      </c>
      <c r="C20" s="2" t="s">
        <v>17</v>
      </c>
      <c r="E20" s="34" t="n">
        <v>-6130740.44</v>
      </c>
      <c r="F20" s="28"/>
      <c r="G20" s="34" t="n">
        <v>4358562</v>
      </c>
      <c r="H20" s="35" t="s">
        <v>18</v>
      </c>
    </row>
    <row r="21" customFormat="false" ht="12.75" hidden="false" customHeight="false" outlineLevel="0" collapsed="false">
      <c r="F21" s="28"/>
    </row>
    <row r="22" customFormat="false" ht="12.75" hidden="false" customHeight="false" outlineLevel="0" collapsed="false">
      <c r="F22" s="28"/>
    </row>
    <row r="23" customFormat="false" ht="12.75" hidden="false" customHeight="false" outlineLevel="0" collapsed="false">
      <c r="A23" s="8" t="s">
        <v>19</v>
      </c>
      <c r="B23" s="9"/>
      <c r="C23" s="10"/>
      <c r="D23" s="11"/>
      <c r="E23" s="11"/>
      <c r="F23" s="28"/>
      <c r="G23" s="11"/>
      <c r="H23" s="11"/>
      <c r="I23" s="9"/>
      <c r="J23" s="9"/>
    </row>
    <row r="24" customFormat="false" ht="13.5" hidden="false" customHeight="false" outlineLevel="0" collapsed="false">
      <c r="F24" s="28"/>
    </row>
    <row r="25" customFormat="false" ht="12.75" hidden="false" customHeight="false" outlineLevel="0" collapsed="false">
      <c r="A25" s="15"/>
      <c r="B25" s="16"/>
      <c r="C25" s="17"/>
      <c r="D25" s="18" t="s">
        <v>3</v>
      </c>
      <c r="E25" s="18"/>
      <c r="F25" s="19"/>
      <c r="G25" s="18" t="s">
        <v>4</v>
      </c>
      <c r="H25" s="18"/>
      <c r="I25" s="36"/>
      <c r="J25" s="37"/>
    </row>
    <row r="26" customFormat="false" ht="13.5" hidden="false" customHeight="false" outlineLevel="0" collapsed="false">
      <c r="A26" s="21" t="s">
        <v>5</v>
      </c>
      <c r="B26" s="22" t="s">
        <v>6</v>
      </c>
      <c r="C26" s="23"/>
      <c r="D26" s="24" t="s">
        <v>7</v>
      </c>
      <c r="E26" s="24" t="s">
        <v>8</v>
      </c>
      <c r="F26" s="25"/>
      <c r="G26" s="24" t="s">
        <v>7</v>
      </c>
      <c r="H26" s="24" t="s">
        <v>8</v>
      </c>
      <c r="I26" s="38"/>
      <c r="J26" s="39"/>
    </row>
    <row r="27" customFormat="false" ht="12.75" hidden="false" customHeight="false" outlineLevel="0" collapsed="false">
      <c r="F27" s="28"/>
    </row>
    <row r="28" customFormat="false" ht="12.75" hidden="false" customHeight="false" outlineLevel="0" collapsed="false">
      <c r="A28" s="1" t="n">
        <v>36800</v>
      </c>
      <c r="B28" s="40" t="s">
        <v>20</v>
      </c>
      <c r="C28" s="2" t="s">
        <v>21</v>
      </c>
      <c r="E28" s="34" t="n">
        <f aca="false">-172172.76</f>
        <v>-172172.76</v>
      </c>
      <c r="F28" s="28"/>
      <c r="G28" s="41"/>
      <c r="H28" s="34" t="n">
        <f aca="false">-9280.27</f>
        <v>-9280.27</v>
      </c>
    </row>
    <row r="29" customFormat="false" ht="12.75" hidden="false" customHeight="false" outlineLevel="0" collapsed="false">
      <c r="B29" s="42"/>
      <c r="C29" s="43"/>
      <c r="F29" s="28"/>
    </row>
    <row r="30" customFormat="false" ht="12.75" hidden="false" customHeight="false" outlineLevel="0" collapsed="false">
      <c r="A30" s="1" t="n">
        <v>36831</v>
      </c>
      <c r="B30" s="44" t="s">
        <v>22</v>
      </c>
      <c r="C30" s="2" t="s">
        <v>12</v>
      </c>
      <c r="D30" s="34" t="n">
        <v>19262.94</v>
      </c>
      <c r="F30" s="28"/>
      <c r="G30" s="34" t="n">
        <v>139499.57</v>
      </c>
    </row>
    <row r="31" customFormat="false" ht="12.75" hidden="false" customHeight="false" outlineLevel="0" collapsed="false">
      <c r="B31" s="45" t="s">
        <v>23</v>
      </c>
      <c r="C31" s="2" t="s">
        <v>24</v>
      </c>
      <c r="F31" s="28"/>
      <c r="G31" s="46" t="n">
        <v>1081698.56</v>
      </c>
      <c r="H31" s="3" t="s">
        <v>25</v>
      </c>
    </row>
    <row r="32" customFormat="false" ht="12.75" hidden="false" customHeight="false" outlineLevel="0" collapsed="false">
      <c r="B32" s="45" t="s">
        <v>23</v>
      </c>
      <c r="C32" s="2" t="s">
        <v>26</v>
      </c>
      <c r="E32" s="47" t="s">
        <v>27</v>
      </c>
      <c r="F32" s="28"/>
    </row>
    <row r="33" customFormat="false" ht="12.75" hidden="false" customHeight="false" outlineLevel="0" collapsed="false">
      <c r="E33" s="34"/>
      <c r="F33" s="28"/>
      <c r="G33" s="46"/>
    </row>
    <row r="34" customFormat="false" ht="12.75" hidden="false" customHeight="false" outlineLevel="0" collapsed="false">
      <c r="A34" s="1" t="n">
        <v>36861</v>
      </c>
      <c r="B34" s="45" t="s">
        <v>22</v>
      </c>
      <c r="E34" s="3" t="n">
        <f aca="false">-864091.23</f>
        <v>-864091.23</v>
      </c>
      <c r="F34" s="28"/>
    </row>
    <row r="35" customFormat="false" ht="12.75" hidden="false" customHeight="false" outlineLevel="0" collapsed="false">
      <c r="B35" s="45"/>
      <c r="C35" s="2" t="s">
        <v>28</v>
      </c>
      <c r="E35" s="3" t="n">
        <v>864091.23</v>
      </c>
      <c r="F35" s="28"/>
    </row>
    <row r="36" customFormat="false" ht="13.5" hidden="false" customHeight="false" outlineLevel="0" collapsed="false">
      <c r="B36" s="45"/>
      <c r="C36" s="2" t="s">
        <v>29</v>
      </c>
      <c r="E36" s="48" t="n">
        <f aca="false">E34+E35</f>
        <v>0</v>
      </c>
      <c r="F36" s="28"/>
    </row>
    <row r="37" customFormat="false" ht="13.5" hidden="false" customHeight="false" outlineLevel="0" collapsed="false">
      <c r="B37" s="45"/>
      <c r="F37" s="28"/>
    </row>
    <row r="38" customFormat="false" ht="12.75" hidden="false" customHeight="false" outlineLevel="0" collapsed="false">
      <c r="B38" s="45" t="s">
        <v>30</v>
      </c>
      <c r="D38" s="3" t="n">
        <f aca="false">12526251.16</f>
        <v>12526251.16</v>
      </c>
      <c r="F38" s="28"/>
      <c r="G38" s="3" t="n">
        <v>1585324.92</v>
      </c>
    </row>
    <row r="39" customFormat="false" ht="12.75" hidden="false" customHeight="false" outlineLevel="0" collapsed="false">
      <c r="B39" s="2"/>
      <c r="C39" s="31" t="s">
        <v>31</v>
      </c>
      <c r="D39" s="3" t="n">
        <f aca="false">-4116842.51</f>
        <v>-4116842.51</v>
      </c>
      <c r="F39" s="28"/>
      <c r="G39" s="3" t="n">
        <f aca="false">-1123808.72</f>
        <v>-1123808.72</v>
      </c>
    </row>
    <row r="40" customFormat="false" ht="12.75" hidden="false" customHeight="false" outlineLevel="0" collapsed="false">
      <c r="B40" s="2"/>
      <c r="C40" s="31" t="s">
        <v>32</v>
      </c>
      <c r="D40" s="3" t="n">
        <f aca="false">-155542.37</f>
        <v>-155542.37</v>
      </c>
      <c r="F40" s="28"/>
      <c r="G40" s="3" t="n">
        <f aca="false">-91363.38</f>
        <v>-91363.38</v>
      </c>
    </row>
    <row r="41" customFormat="false" ht="12.75" hidden="false" customHeight="false" outlineLevel="0" collapsed="false">
      <c r="C41" s="2" t="s">
        <v>33</v>
      </c>
      <c r="D41" s="3" t="n">
        <v>0</v>
      </c>
      <c r="F41" s="28"/>
      <c r="G41" s="3" t="n">
        <f aca="false">-36735.44</f>
        <v>-36735.44</v>
      </c>
    </row>
    <row r="42" customFormat="false" ht="12.75" hidden="false" customHeight="false" outlineLevel="0" collapsed="false">
      <c r="C42" s="2" t="s">
        <v>34</v>
      </c>
      <c r="D42" s="3" t="n">
        <f aca="false">-172172.76</f>
        <v>-172172.76</v>
      </c>
      <c r="F42" s="28"/>
      <c r="G42" s="3" t="n">
        <v>0</v>
      </c>
    </row>
    <row r="43" customFormat="false" ht="13.5" hidden="false" customHeight="false" outlineLevel="0" collapsed="false">
      <c r="B43" s="30"/>
      <c r="C43" s="31" t="s">
        <v>35</v>
      </c>
      <c r="D43" s="32" t="n">
        <f aca="false">SUM(D38:D42)</f>
        <v>8081693.52</v>
      </c>
      <c r="E43" s="3" t="s">
        <v>36</v>
      </c>
      <c r="F43" s="28"/>
      <c r="G43" s="32" t="n">
        <f aca="false">G38+G39+G40+G41</f>
        <v>333417.38</v>
      </c>
      <c r="H43" s="3" t="s">
        <v>36</v>
      </c>
    </row>
    <row r="44" customFormat="false" ht="13.5" hidden="false" customHeight="false" outlineLevel="0" collapsed="false">
      <c r="B44" s="30"/>
      <c r="C44" s="31"/>
      <c r="D44" s="34"/>
      <c r="F44" s="28"/>
      <c r="G44" s="34"/>
    </row>
    <row r="45" customFormat="false" ht="12.75" hidden="false" customHeight="false" outlineLevel="0" collapsed="false">
      <c r="A45" s="1" t="n">
        <v>36892</v>
      </c>
      <c r="B45" s="45" t="s">
        <v>30</v>
      </c>
      <c r="C45" s="2" t="s">
        <v>17</v>
      </c>
      <c r="E45" s="3" t="n">
        <f aca="false">-24715955.04</f>
        <v>-24715955.04</v>
      </c>
      <c r="F45" s="28"/>
      <c r="G45" s="3" t="n">
        <v>7623476</v>
      </c>
    </row>
    <row r="46" customFormat="false" ht="12.75" hidden="false" customHeight="false" outlineLevel="0" collapsed="false">
      <c r="B46" s="45" t="s">
        <v>37</v>
      </c>
      <c r="C46" s="2" t="s">
        <v>17</v>
      </c>
      <c r="E46" s="3" t="n">
        <f aca="false">-13338016</f>
        <v>-13338016</v>
      </c>
      <c r="F46" s="28"/>
    </row>
    <row r="47" customFormat="false" ht="12.75" hidden="false" customHeight="false" outlineLevel="0" collapsed="false">
      <c r="C47" s="31"/>
      <c r="F47" s="28"/>
    </row>
    <row r="48" customFormat="false" ht="7.5" hidden="false" customHeight="true" outlineLevel="0" collapsed="false">
      <c r="A48" s="8"/>
      <c r="B48" s="9"/>
      <c r="C48" s="49"/>
      <c r="D48" s="11"/>
      <c r="E48" s="11"/>
      <c r="F48" s="28"/>
      <c r="G48" s="11"/>
      <c r="H48" s="11"/>
      <c r="I48" s="9"/>
      <c r="J48" s="9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</row>
    <row r="49" customFormat="false" ht="12" hidden="false" customHeight="true" outlineLevel="0" collapsed="false">
      <c r="A49" s="50" t="s">
        <v>38</v>
      </c>
      <c r="F49" s="28"/>
    </row>
    <row r="50" customFormat="false" ht="12.75" hidden="false" customHeight="false" outlineLevel="0" collapsed="false">
      <c r="F50" s="28"/>
    </row>
    <row r="51" customFormat="false" ht="12.75" hidden="false" customHeight="false" outlineLevel="0" collapsed="false">
      <c r="A51" s="1" t="s">
        <v>39</v>
      </c>
      <c r="B51" s="45" t="s">
        <v>40</v>
      </c>
      <c r="F51" s="28"/>
    </row>
    <row r="52" customFormat="false" ht="12.75" hidden="false" customHeight="false" outlineLevel="0" collapsed="false">
      <c r="B52" s="51" t="s">
        <v>41</v>
      </c>
      <c r="F52" s="28"/>
    </row>
    <row r="53" customFormat="false" ht="12.75" hidden="false" customHeight="false" outlineLevel="0" collapsed="false">
      <c r="F53" s="28"/>
    </row>
    <row r="54" customFormat="false" ht="12.75" hidden="false" customHeight="false" outlineLevel="0" collapsed="false">
      <c r="A54" s="1" t="s">
        <v>42</v>
      </c>
      <c r="B54" s="45" t="s">
        <v>43</v>
      </c>
      <c r="F54" s="28"/>
    </row>
    <row r="55" customFormat="false" ht="12.75" hidden="false" customHeight="false" outlineLevel="0" collapsed="false">
      <c r="B55" s="45"/>
      <c r="F55" s="28"/>
    </row>
    <row r="56" customFormat="false" ht="12.75" hidden="false" customHeight="false" outlineLevel="0" collapsed="false">
      <c r="D56" s="52" t="s">
        <v>44</v>
      </c>
      <c r="F56" s="28"/>
      <c r="H56" s="52" t="s">
        <v>45</v>
      </c>
      <c r="J56" s="3"/>
    </row>
    <row r="57" customFormat="false" ht="12.75" hidden="false" customHeight="false" outlineLevel="0" collapsed="false">
      <c r="B57" s="3"/>
      <c r="D57" s="30" t="s">
        <v>46</v>
      </c>
      <c r="E57" s="3" t="n">
        <f aca="false">(34095434.28/566890948.42)*17846030.82</f>
        <v>1073342.54088559</v>
      </c>
      <c r="F57" s="28"/>
      <c r="H57" s="30" t="s">
        <v>46</v>
      </c>
      <c r="J57" s="3" t="n">
        <v>69492.41</v>
      </c>
    </row>
    <row r="58" customFormat="false" ht="12.75" hidden="false" customHeight="false" outlineLevel="0" collapsed="false">
      <c r="B58" s="3"/>
      <c r="D58" s="30" t="s">
        <v>47</v>
      </c>
      <c r="E58" s="3" t="n">
        <f aca="false">(529929487.48/566890948.42)*17846030.82</f>
        <v>16682464.2241214</v>
      </c>
      <c r="F58" s="28"/>
      <c r="H58" s="30" t="s">
        <v>47</v>
      </c>
      <c r="J58" s="3" t="n">
        <v>1008410.97</v>
      </c>
    </row>
    <row r="59" customFormat="false" ht="12.75" hidden="false" customHeight="false" outlineLevel="0" collapsed="false">
      <c r="B59" s="3"/>
      <c r="D59" s="30" t="s">
        <v>48</v>
      </c>
      <c r="E59" s="3" t="n">
        <f aca="false">(857703.68/566890948.42)*17846030.82</f>
        <v>27000.9714396904</v>
      </c>
      <c r="F59" s="28"/>
      <c r="H59" s="30" t="s">
        <v>48</v>
      </c>
      <c r="J59" s="3" t="n">
        <v>1130.07</v>
      </c>
    </row>
    <row r="60" customFormat="false" ht="12.75" hidden="false" customHeight="false" outlineLevel="0" collapsed="false">
      <c r="B60" s="3"/>
      <c r="D60" s="30" t="s">
        <v>49</v>
      </c>
      <c r="E60" s="3" t="n">
        <f aca="false">(460695.67/566890948.42)*17846030.82</f>
        <v>14502.9465514932</v>
      </c>
      <c r="F60" s="28"/>
      <c r="H60" s="30" t="s">
        <v>49</v>
      </c>
      <c r="J60" s="3" t="n">
        <v>604.68</v>
      </c>
    </row>
    <row r="61" customFormat="false" ht="12.75" hidden="false" customHeight="false" outlineLevel="0" collapsed="false">
      <c r="B61" s="3"/>
      <c r="D61" s="30" t="s">
        <v>50</v>
      </c>
      <c r="E61" s="3" t="n">
        <f aca="false">(1533344.39/566890948.42)*17846030.82</f>
        <v>48270.5030268723</v>
      </c>
      <c r="F61" s="28"/>
      <c r="H61" s="30" t="s">
        <v>50</v>
      </c>
      <c r="J61" s="3" t="n">
        <v>2041.68</v>
      </c>
    </row>
    <row r="62" customFormat="false" ht="12.75" hidden="false" customHeight="false" outlineLevel="0" collapsed="false">
      <c r="B62" s="3"/>
      <c r="D62" s="30" t="s">
        <v>51</v>
      </c>
      <c r="E62" s="3" t="n">
        <f aca="false">(14282.92/566890948.42)*17846030.82</f>
        <v>449.633974982342</v>
      </c>
      <c r="F62" s="28"/>
      <c r="H62" s="30" t="s">
        <v>51</v>
      </c>
      <c r="J62" s="3" t="n">
        <v>18.75</v>
      </c>
    </row>
    <row r="63" customFormat="false" ht="13.5" hidden="false" customHeight="false" outlineLevel="0" collapsed="false">
      <c r="B63" s="3"/>
      <c r="D63" s="0"/>
      <c r="E63" s="48" t="n">
        <f aca="false">SUM(E57:E62)</f>
        <v>17846030.82</v>
      </c>
      <c r="F63" s="28"/>
      <c r="H63" s="0"/>
      <c r="J63" s="48" t="n">
        <f aca="false">SUM(J57:J62)</f>
        <v>1081698.56</v>
      </c>
    </row>
    <row r="64" customFormat="false" ht="13.5" hidden="false" customHeight="false" outlineLevel="0" collapsed="false">
      <c r="B64" s="3"/>
      <c r="D64" s="0"/>
      <c r="F64" s="28"/>
      <c r="H64" s="0"/>
      <c r="J64" s="3"/>
    </row>
    <row r="65" customFormat="false" ht="12.75" hidden="false" customHeight="false" outlineLevel="0" collapsed="false">
      <c r="A65" s="1" t="s">
        <v>42</v>
      </c>
      <c r="B65" s="45" t="s">
        <v>52</v>
      </c>
      <c r="D65" s="41" t="s">
        <v>53</v>
      </c>
      <c r="E65" s="53" t="n">
        <f aca="false">-7924498.8</f>
        <v>-7924498.8</v>
      </c>
      <c r="F65" s="54"/>
      <c r="G65" s="41" t="s">
        <v>53</v>
      </c>
      <c r="H65" s="53" t="n">
        <f aca="false">-329146.32</f>
        <v>-329146.32</v>
      </c>
      <c r="J65" s="3"/>
    </row>
    <row r="66" customFormat="false" ht="12.75" hidden="false" customHeight="false" outlineLevel="0" collapsed="false">
      <c r="B66" s="45" t="s">
        <v>54</v>
      </c>
      <c r="D66" s="41" t="s">
        <v>53</v>
      </c>
      <c r="E66" s="53" t="n">
        <f aca="false">-25426.86</f>
        <v>-25426.86</v>
      </c>
      <c r="F66" s="54"/>
      <c r="G66" s="41" t="s">
        <v>53</v>
      </c>
      <c r="H66" s="53" t="n">
        <f aca="false">-4271.06</f>
        <v>-4271.06</v>
      </c>
    </row>
    <row r="67" customFormat="false" ht="12.75" hidden="false" customHeight="false" outlineLevel="0" collapsed="false">
      <c r="B67" s="45" t="s">
        <v>55</v>
      </c>
      <c r="D67" s="41" t="s">
        <v>56</v>
      </c>
      <c r="E67" s="53" t="n">
        <f aca="false">-131767.86</f>
        <v>-131767.86</v>
      </c>
      <c r="F67" s="54"/>
      <c r="G67" s="41"/>
      <c r="H67" s="55" t="n">
        <v>0</v>
      </c>
    </row>
    <row r="68" customFormat="false" ht="13.5" hidden="false" customHeight="false" outlineLevel="0" collapsed="false">
      <c r="E68" s="56" t="n">
        <f aca="false">SUM(E65:E67)</f>
        <v>-8081693.52</v>
      </c>
      <c r="F68" s="54"/>
      <c r="G68" s="53"/>
      <c r="H68" s="56" t="n">
        <f aca="false">H65+H66</f>
        <v>-333417.38</v>
      </c>
    </row>
    <row r="69" customFormat="false" ht="13.5" hidden="false" customHeight="false" outlineLevel="0" collapsed="false">
      <c r="F69" s="28"/>
    </row>
  </sheetData>
  <mergeCells count="4">
    <mergeCell ref="D6:E6"/>
    <mergeCell ref="G6:H6"/>
    <mergeCell ref="D25:E25"/>
    <mergeCell ref="G25:H25"/>
  </mergeCells>
  <printOptions headings="false" gridLines="false" gridLinesSet="true" horizontalCentered="false" verticalCentered="false"/>
  <pageMargins left="0.320138888888889" right="0.25" top="0.329861111111111" bottom="0.209722222222222" header="0.170138888888889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&amp;CHIGHLY CONFIDENTIAL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7" width="37.28"/>
    <col collapsed="false" customWidth="true" hidden="false" outlineLevel="0" max="2" min="2" style="57" width="26.7"/>
    <col collapsed="false" customWidth="true" hidden="false" outlineLevel="0" max="3" min="3" style="57" width="25.56"/>
    <col collapsed="false" customWidth="true" hidden="false" outlineLevel="0" max="4" min="4" style="57" width="7.28"/>
    <col collapsed="false" customWidth="true" hidden="false" outlineLevel="0" max="5" min="5" style="58" width="13.28"/>
    <col collapsed="false" customWidth="true" hidden="false" outlineLevel="0" max="6" min="6" style="57" width="8.99"/>
    <col collapsed="false" customWidth="false" hidden="false" outlineLevel="0" max="7" min="7" style="57" width="9.14"/>
    <col collapsed="false" customWidth="true" hidden="false" outlineLevel="0" max="8" min="8" style="59" width="11.56"/>
    <col collapsed="false" customWidth="true" hidden="false" outlineLevel="0" max="10" min="9" style="59" width="12.7"/>
    <col collapsed="false" customWidth="true" hidden="false" outlineLevel="0" max="11" min="11" style="59" width="13.41"/>
    <col collapsed="false" customWidth="false" hidden="false" outlineLevel="0" max="257" min="12" style="57" width="9.14"/>
  </cols>
  <sheetData>
    <row r="1" customFormat="false" ht="12.75" hidden="false" customHeight="false" outlineLevel="0" collapsed="false">
      <c r="A1" s="45" t="s">
        <v>57</v>
      </c>
      <c r="B1" s="60"/>
      <c r="C1" s="60"/>
      <c r="D1" s="60"/>
      <c r="E1" s="61"/>
      <c r="F1" s="60"/>
      <c r="G1" s="60"/>
      <c r="H1" s="62"/>
      <c r="I1" s="62"/>
      <c r="J1" s="62"/>
      <c r="K1" s="62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customFormat="false" ht="11.25" hidden="false" customHeight="false" outlineLevel="0" collapsed="false">
      <c r="A2" s="63" t="s">
        <v>58</v>
      </c>
    </row>
    <row r="3" customFormat="false" ht="11.25" hidden="false" customHeight="false" outlineLevel="0" collapsed="false">
      <c r="A3" s="64"/>
    </row>
    <row r="5" customFormat="false" ht="11.25" hidden="false" customHeight="false" outlineLevel="0" collapsed="false">
      <c r="A5" s="65" t="s">
        <v>59</v>
      </c>
      <c r="B5" s="66"/>
      <c r="C5" s="66"/>
      <c r="D5" s="66"/>
    </row>
    <row r="6" customFormat="false" ht="11.25" hidden="false" customHeight="false" outlineLevel="0" collapsed="false">
      <c r="A6" s="67" t="s">
        <v>60</v>
      </c>
      <c r="B6" s="67" t="s">
        <v>61</v>
      </c>
      <c r="C6" s="67" t="s">
        <v>62</v>
      </c>
      <c r="D6" s="67"/>
      <c r="E6" s="68" t="s">
        <v>63</v>
      </c>
      <c r="F6" s="69" t="s">
        <v>64</v>
      </c>
      <c r="G6" s="64"/>
      <c r="H6" s="70"/>
      <c r="I6" s="70"/>
      <c r="J6" s="70"/>
      <c r="K6" s="7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</row>
    <row r="7" customFormat="false" ht="11.25" hidden="false" customHeight="false" outlineLevel="0" collapsed="false">
      <c r="A7" s="57" t="s">
        <v>65</v>
      </c>
      <c r="B7" s="57" t="s">
        <v>66</v>
      </c>
      <c r="C7" s="57" t="s">
        <v>67</v>
      </c>
      <c r="E7" s="58" t="n">
        <v>3570788</v>
      </c>
      <c r="F7" s="69"/>
      <c r="G7" s="64"/>
      <c r="H7" s="70"/>
      <c r="I7" s="71"/>
      <c r="J7" s="70"/>
      <c r="K7" s="70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</row>
    <row r="8" customFormat="false" ht="11.25" hidden="false" customHeight="false" outlineLevel="0" collapsed="false">
      <c r="C8" s="57" t="s">
        <v>68</v>
      </c>
      <c r="E8" s="72"/>
      <c r="F8" s="69"/>
      <c r="G8" s="64"/>
      <c r="H8" s="70"/>
      <c r="I8" s="70"/>
      <c r="J8" s="70"/>
      <c r="K8" s="70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</row>
    <row r="9" customFormat="false" ht="11.25" hidden="false" customHeight="false" outlineLevel="0" collapsed="false">
      <c r="C9" s="57" t="s">
        <v>69</v>
      </c>
      <c r="E9" s="72"/>
      <c r="F9" s="69"/>
      <c r="G9" s="64"/>
      <c r="H9" s="70"/>
      <c r="I9" s="70"/>
      <c r="J9" s="70"/>
      <c r="K9" s="70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</row>
    <row r="10" customFormat="false" ht="11.25" hidden="false" customHeight="false" outlineLevel="0" collapsed="false">
      <c r="A10" s="67"/>
      <c r="B10" s="67"/>
      <c r="C10" s="73" t="s">
        <v>70</v>
      </c>
      <c r="D10" s="74"/>
      <c r="E10" s="75" t="n">
        <f aca="false">E7</f>
        <v>3570788</v>
      </c>
      <c r="F10" s="69"/>
      <c r="G10" s="64"/>
      <c r="H10" s="70"/>
      <c r="I10" s="71"/>
      <c r="J10" s="70"/>
      <c r="K10" s="70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</row>
    <row r="11" customFormat="false" ht="12.75" hidden="false" customHeight="true" outlineLevel="0" collapsed="false">
      <c r="A11" s="67" t="s">
        <v>71</v>
      </c>
      <c r="B11" s="67"/>
      <c r="C11" s="76"/>
      <c r="D11" s="67"/>
      <c r="E11" s="77"/>
      <c r="F11" s="69"/>
      <c r="G11" s="64"/>
      <c r="H11" s="70"/>
      <c r="I11" s="70"/>
      <c r="J11" s="70"/>
      <c r="K11" s="70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</row>
    <row r="12" customFormat="false" ht="11.25" hidden="false" customHeight="false" outlineLevel="0" collapsed="false">
      <c r="A12" s="66" t="s">
        <v>72</v>
      </c>
      <c r="B12" s="66" t="s">
        <v>66</v>
      </c>
      <c r="C12" s="66" t="s">
        <v>73</v>
      </c>
      <c r="D12" s="66"/>
      <c r="E12" s="78" t="n">
        <v>15000000</v>
      </c>
      <c r="F12" s="79" t="n">
        <v>37011</v>
      </c>
      <c r="I12" s="71"/>
    </row>
    <row r="13" customFormat="false" ht="11.25" hidden="false" customHeight="false" outlineLevel="0" collapsed="false">
      <c r="A13" s="66"/>
      <c r="B13" s="66"/>
      <c r="C13" s="80" t="s">
        <v>74</v>
      </c>
      <c r="D13" s="59"/>
      <c r="E13" s="77" t="n">
        <f aca="false">E12</f>
        <v>15000000</v>
      </c>
      <c r="F13" s="81"/>
      <c r="I13" s="71"/>
    </row>
    <row r="14" customFormat="false" ht="11.25" hidden="false" customHeight="false" outlineLevel="0" collapsed="false">
      <c r="A14" s="66"/>
      <c r="B14" s="66"/>
      <c r="C14" s="80"/>
      <c r="D14" s="59"/>
      <c r="E14" s="77"/>
      <c r="F14" s="81"/>
      <c r="I14" s="71"/>
    </row>
    <row r="15" customFormat="false" ht="11.25" hidden="false" customHeight="false" outlineLevel="0" collapsed="false">
      <c r="A15" s="66"/>
      <c r="B15" s="66"/>
      <c r="C15" s="82" t="s">
        <v>75</v>
      </c>
      <c r="D15" s="59"/>
      <c r="E15" s="77"/>
      <c r="F15" s="81"/>
      <c r="I15" s="71"/>
      <c r="K15" s="83"/>
    </row>
    <row r="16" customFormat="false" ht="12" hidden="false" customHeight="false" outlineLevel="0" collapsed="false">
      <c r="E16" s="72"/>
    </row>
    <row r="17" customFormat="false" ht="12" hidden="false" customHeight="false" outlineLevel="0" collapsed="false">
      <c r="C17" s="84" t="s">
        <v>76</v>
      </c>
      <c r="D17" s="85" t="s">
        <v>77</v>
      </c>
      <c r="E17" s="86" t="n">
        <f aca="false">E10+E13</f>
        <v>18570788</v>
      </c>
      <c r="I17" s="77"/>
      <c r="J17" s="58"/>
    </row>
    <row r="19" customFormat="false" ht="11.25" hidden="false" customHeight="false" outlineLevel="0" collapsed="false">
      <c r="A19" s="65" t="s">
        <v>78</v>
      </c>
      <c r="B19" s="66"/>
      <c r="C19" s="66"/>
      <c r="D19" s="66"/>
    </row>
    <row r="20" customFormat="false" ht="11.25" hidden="false" customHeight="false" outlineLevel="0" collapsed="false">
      <c r="A20" s="67" t="s">
        <v>60</v>
      </c>
      <c r="B20" s="67" t="s">
        <v>61</v>
      </c>
      <c r="C20" s="67" t="s">
        <v>79</v>
      </c>
      <c r="D20" s="67"/>
      <c r="E20" s="68" t="s">
        <v>63</v>
      </c>
      <c r="F20" s="69" t="s">
        <v>64</v>
      </c>
      <c r="G20" s="64"/>
      <c r="H20" s="70"/>
      <c r="I20" s="70"/>
      <c r="J20" s="70"/>
      <c r="K20" s="70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  <c r="IW20" s="64"/>
    </row>
    <row r="21" customFormat="false" ht="11.25" hidden="false" customHeight="false" outlineLevel="0" collapsed="false">
      <c r="A21" s="57" t="s">
        <v>80</v>
      </c>
      <c r="B21" s="67"/>
      <c r="C21" s="67"/>
      <c r="D21" s="67"/>
      <c r="E21" s="68"/>
      <c r="F21" s="69"/>
      <c r="G21" s="64"/>
      <c r="H21" s="70"/>
      <c r="I21" s="70"/>
      <c r="J21" s="70"/>
      <c r="K21" s="70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</row>
    <row r="22" customFormat="false" ht="11.25" hidden="false" customHeight="false" outlineLevel="0" collapsed="false">
      <c r="A22" s="87" t="s">
        <v>81</v>
      </c>
      <c r="B22" s="57" t="s">
        <v>82</v>
      </c>
      <c r="C22" s="57" t="s">
        <v>83</v>
      </c>
      <c r="E22" s="58" t="n">
        <v>15000000</v>
      </c>
      <c r="F22" s="88" t="n">
        <v>36922</v>
      </c>
    </row>
    <row r="23" customFormat="false" ht="11.25" hidden="false" customHeight="false" outlineLevel="0" collapsed="false">
      <c r="A23" s="87" t="s">
        <v>84</v>
      </c>
      <c r="B23" s="57" t="s">
        <v>82</v>
      </c>
      <c r="C23" s="57" t="s">
        <v>85</v>
      </c>
      <c r="E23" s="58" t="n">
        <v>14500000</v>
      </c>
      <c r="F23" s="88" t="n">
        <v>36922</v>
      </c>
    </row>
    <row r="24" customFormat="false" ht="11.25" hidden="false" customHeight="false" outlineLevel="0" collapsed="false">
      <c r="A24" s="87" t="s">
        <v>86</v>
      </c>
      <c r="B24" s="57" t="s">
        <v>82</v>
      </c>
      <c r="C24" s="57" t="s">
        <v>87</v>
      </c>
      <c r="E24" s="78" t="n">
        <v>7000000</v>
      </c>
      <c r="F24" s="88" t="n">
        <v>36922</v>
      </c>
    </row>
    <row r="25" customFormat="false" ht="11.25" hidden="false" customHeight="false" outlineLevel="0" collapsed="false">
      <c r="C25" s="73" t="s">
        <v>70</v>
      </c>
      <c r="D25" s="89"/>
      <c r="E25" s="77" t="n">
        <f aca="false">SUM(E22:E24)</f>
        <v>36500000</v>
      </c>
      <c r="F25" s="88"/>
      <c r="H25" s="58"/>
      <c r="I25" s="83"/>
    </row>
    <row r="26" customFormat="false" ht="11.25" hidden="false" customHeight="false" outlineLevel="0" collapsed="false">
      <c r="A26" s="67" t="s">
        <v>88</v>
      </c>
      <c r="F26" s="88"/>
    </row>
    <row r="27" customFormat="false" ht="11.25" hidden="false" customHeight="false" outlineLevel="0" collapsed="false">
      <c r="A27" s="90" t="n">
        <v>3016972</v>
      </c>
      <c r="B27" s="66" t="s">
        <v>82</v>
      </c>
      <c r="C27" s="66" t="s">
        <v>67</v>
      </c>
      <c r="D27" s="66"/>
      <c r="E27" s="58" t="n">
        <v>40290000</v>
      </c>
      <c r="F27" s="79" t="n">
        <v>36981</v>
      </c>
      <c r="I27" s="83"/>
    </row>
    <row r="28" customFormat="false" ht="11.25" hidden="false" customHeight="false" outlineLevel="0" collapsed="false">
      <c r="A28" s="66" t="s">
        <v>89</v>
      </c>
      <c r="B28" s="66" t="s">
        <v>82</v>
      </c>
      <c r="C28" s="66" t="s">
        <v>90</v>
      </c>
      <c r="D28" s="66"/>
      <c r="E28" s="58" t="n">
        <v>27000000</v>
      </c>
      <c r="F28" s="79" t="n">
        <v>36981</v>
      </c>
      <c r="I28" s="83"/>
    </row>
    <row r="29" customFormat="false" ht="11.25" hidden="false" customHeight="false" outlineLevel="0" collapsed="false">
      <c r="A29" s="66" t="s">
        <v>91</v>
      </c>
      <c r="B29" s="66" t="s">
        <v>82</v>
      </c>
      <c r="C29" s="66" t="s">
        <v>92</v>
      </c>
      <c r="D29" s="66"/>
      <c r="E29" s="78" t="n">
        <v>25000000</v>
      </c>
      <c r="F29" s="79" t="n">
        <v>37134</v>
      </c>
      <c r="H29" s="58"/>
      <c r="I29" s="83"/>
    </row>
    <row r="30" customFormat="false" ht="11.25" hidden="false" customHeight="false" outlineLevel="0" collapsed="false">
      <c r="C30" s="76" t="s">
        <v>93</v>
      </c>
      <c r="D30" s="64"/>
      <c r="E30" s="77" t="n">
        <f aca="false">SUM(E27:E29)</f>
        <v>92290000</v>
      </c>
      <c r="I30" s="77"/>
    </row>
    <row r="31" customFormat="false" ht="12" hidden="false" customHeight="false" outlineLevel="0" collapsed="false"/>
    <row r="32" customFormat="false" ht="12" hidden="false" customHeight="false" outlineLevel="0" collapsed="false">
      <c r="C32" s="91" t="s">
        <v>94</v>
      </c>
      <c r="D32" s="85" t="s">
        <v>77</v>
      </c>
      <c r="E32" s="86" t="n">
        <f aca="false">E25+E30</f>
        <v>128790000</v>
      </c>
      <c r="I32" s="77"/>
    </row>
    <row r="33" customFormat="false" ht="12" hidden="false" customHeight="false" outlineLevel="0" collapsed="false"/>
    <row r="34" customFormat="false" ht="12" hidden="false" customHeight="false" outlineLevel="0" collapsed="false">
      <c r="C34" s="92" t="s">
        <v>95</v>
      </c>
      <c r="D34" s="93"/>
      <c r="E34" s="94" t="n">
        <f aca="false">E17+E32</f>
        <v>147360788</v>
      </c>
      <c r="I34" s="77"/>
      <c r="J34" s="77"/>
    </row>
    <row r="36" customFormat="false" ht="11.25" hidden="false" customHeight="false" outlineLevel="0" collapsed="false">
      <c r="H36" s="83"/>
    </row>
  </sheetData>
  <printOptions headings="false" gridLines="false" gridLinesSet="true" horizontalCentered="false" verticalCentered="false"/>
  <pageMargins left="0.747916666666667" right="0.2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&amp;CHIGHLY CONFIDENTIAL</oddHead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2001-03-09T15:44:50Z</dcterms:created>
  <dc:creator>s_mcrouch</dc:creator>
  <dc:description/>
  <dc:language>en-US</dc:language>
  <cp:lastModifiedBy>s_mcrouch</cp:lastModifiedBy>
  <cp:lastPrinted>2001-03-09T17:39:26Z</cp:lastPrinted>
  <cp:revision>0</cp:revision>
  <dc:subject/>
  <dc:title/>
</cp:coreProperties>
</file>